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280" activeTab="0"/>
  </bookViews>
  <sheets>
    <sheet name="Cardiff" sheetId="1" r:id="rId1"/>
    <sheet name="Edinburgh" sheetId="2" r:id="rId2"/>
    <sheet name="London" sheetId="3" r:id="rId3"/>
    <sheet name="Aux 1-Air Quality Data Hourly" sheetId="4" r:id="rId4"/>
    <sheet name="Aux 2-Wind" sheetId="5" r:id="rId5"/>
  </sheets>
  <definedNames>
    <definedName name="car1">'Aux 1-Air Quality Data Hourly'!$B$12:$D$35</definedName>
    <definedName name="car10">'Aux 1-Air Quality Data Hourly'!$B$228:$D$251</definedName>
    <definedName name="car10j">'Aux 1-Air Quality Data Hourly'!$B$972:$D$995</definedName>
    <definedName name="car11">'Aux 1-Air Quality Data Hourly'!$B$252:$D$275</definedName>
    <definedName name="car11j">'Aux 1-Air Quality Data Hourly'!$B$996:$D$1019</definedName>
    <definedName name="car12">'Aux 1-Air Quality Data Hourly'!$B$276:$D$299</definedName>
    <definedName name="car12j">'Aux 1-Air Quality Data Hourly'!$B$1020:$D$1043</definedName>
    <definedName name="car13">'Aux 1-Air Quality Data Hourly'!$B$300:$D$323</definedName>
    <definedName name="car13j">'Aux 1-Air Quality Data Hourly'!$B$1044:$D$1067</definedName>
    <definedName name="car14">'Aux 1-Air Quality Data Hourly'!$B$324:$D$347</definedName>
    <definedName name="car14j">'Aux 1-Air Quality Data Hourly'!$B$1068:$D$1091</definedName>
    <definedName name="car15">'Aux 1-Air Quality Data Hourly'!$B$348:$D$371</definedName>
    <definedName name="car15j">'Aux 1-Air Quality Data Hourly'!$B$1092:$D$1115</definedName>
    <definedName name="car16">'Aux 1-Air Quality Data Hourly'!$B$372:$D$395</definedName>
    <definedName name="car16j">'Aux 1-Air Quality Data Hourly'!$B$1116:$D$1139</definedName>
    <definedName name="car17">'Aux 1-Air Quality Data Hourly'!$B$396:$D$419</definedName>
    <definedName name="car17j">'Aux 1-Air Quality Data Hourly'!$B$1140:$D$1163</definedName>
    <definedName name="car18">'Aux 1-Air Quality Data Hourly'!$B$420:$D$443</definedName>
    <definedName name="car18j">'Aux 1-Air Quality Data Hourly'!$B$1164:$D$1187</definedName>
    <definedName name="car19">'Aux 1-Air Quality Data Hourly'!$B$444:$D$467</definedName>
    <definedName name="car19j">'Aux 1-Air Quality Data Hourly'!$B$1188:$D$1211</definedName>
    <definedName name="car1j">'Aux 1-Air Quality Data Hourly'!$B$756:$D$779</definedName>
    <definedName name="car2">'Aux 1-Air Quality Data Hourly'!$B$36:$D$59</definedName>
    <definedName name="car20">'Aux 1-Air Quality Data Hourly'!$B$468:$D$491</definedName>
    <definedName name="car20j">'Aux 1-Air Quality Data Hourly'!$B$1212:$D$1235</definedName>
    <definedName name="car21">'Aux 1-Air Quality Data Hourly'!$B$492:$D$515</definedName>
    <definedName name="car21j">'Aux 1-Air Quality Data Hourly'!$B$1236:$D$1259</definedName>
    <definedName name="car22">'Aux 1-Air Quality Data Hourly'!$B$516:$D$539</definedName>
    <definedName name="car22j">'Aux 1-Air Quality Data Hourly'!$B$1260:$D$1283</definedName>
    <definedName name="car23">'Aux 1-Air Quality Data Hourly'!$B$540:$D$563</definedName>
    <definedName name="car23j">'Aux 1-Air Quality Data Hourly'!$B$1284:$D$1307</definedName>
    <definedName name="car24">'Aux 1-Air Quality Data Hourly'!$B$564:$D$587</definedName>
    <definedName name="car24j">'Aux 1-Air Quality Data Hourly'!$B$1308:$D$1331</definedName>
    <definedName name="car25">'Aux 1-Air Quality Data Hourly'!$B$588:$D$611</definedName>
    <definedName name="car25j">'Aux 1-Air Quality Data Hourly'!$B$1332:$D$1355</definedName>
    <definedName name="car26">'Aux 1-Air Quality Data Hourly'!$B$612:$D$635</definedName>
    <definedName name="car26j">'Aux 1-Air Quality Data Hourly'!$B$1356:$D$1379</definedName>
    <definedName name="car27">'Aux 1-Air Quality Data Hourly'!$B$636:$D$659</definedName>
    <definedName name="car27j">'Aux 1-Air Quality Data Hourly'!$B$1380:$D$1403</definedName>
    <definedName name="car28">'Aux 1-Air Quality Data Hourly'!$B$660:$D$683</definedName>
    <definedName name="car28j">'Aux 1-Air Quality Data Hourly'!$B$1404:$D$1427</definedName>
    <definedName name="car29">'Aux 1-Air Quality Data Hourly'!$B$684:$D$707</definedName>
    <definedName name="car29j">'Aux 1-Air Quality Data Hourly'!$B$1428:$D$1451</definedName>
    <definedName name="car2j">'Aux 1-Air Quality Data Hourly'!$B$780:$D$803</definedName>
    <definedName name="car3">'Aux 1-Air Quality Data Hourly'!$B$60:$D$83</definedName>
    <definedName name="car30">'Aux 1-Air Quality Data Hourly'!$B$708:$D$731</definedName>
    <definedName name="car30j">'Aux 1-Air Quality Data Hourly'!$B$1452:$D$1475</definedName>
    <definedName name="car31">'Aux 1-Air Quality Data Hourly'!$B$732:$D$755</definedName>
    <definedName name="car3j">'Aux 1-Air Quality Data Hourly'!$B$804:$D$827</definedName>
    <definedName name="car4">'Aux 1-Air Quality Data Hourly'!$B$84:$D$107</definedName>
    <definedName name="car4j">'Aux 1-Air Quality Data Hourly'!$B$828:$D$851</definedName>
    <definedName name="car5">'Aux 1-Air Quality Data Hourly'!$B$108:$D$131</definedName>
    <definedName name="car5j">'Aux 1-Air Quality Data Hourly'!$B$852:$D$875</definedName>
    <definedName name="car6">'Aux 1-Air Quality Data Hourly'!$B$132:$D$155</definedName>
    <definedName name="car6j">'Aux 1-Air Quality Data Hourly'!$B$876:$D$899</definedName>
    <definedName name="car7">'Aux 1-Air Quality Data Hourly'!$B$156:$D$179</definedName>
    <definedName name="car7j">'Aux 1-Air Quality Data Hourly'!$B$900:$D$923</definedName>
    <definedName name="car8">'Aux 1-Air Quality Data Hourly'!$B$180:$D$203</definedName>
    <definedName name="car8j">'Aux 1-Air Quality Data Hourly'!$B$924:$D$947</definedName>
    <definedName name="car9">'Aux 1-Air Quality Data Hourly'!$B$204:$D$227</definedName>
    <definedName name="car9j">'Aux 1-Air Quality Data Hourly'!$B$948:$D$971</definedName>
    <definedName name="var5j">'Aux 1-Air Quality Data Hourly'!$B$852:$D$875</definedName>
    <definedName name="WIND">'Aux 2-Wind'!$A$2:$B$37</definedName>
  </definedNames>
  <calcPr fullCalcOnLoad="1"/>
</workbook>
</file>

<file path=xl/sharedStrings.xml><?xml version="1.0" encoding="utf-8"?>
<sst xmlns="http://schemas.openxmlformats.org/spreadsheetml/2006/main" count="457" uniqueCount="95">
  <si>
    <t>All Data GMT hour ending</t>
  </si>
  <si>
    <t>Cardiff Centre</t>
  </si>
  <si>
    <t>Edinburgh St Leonards</t>
  </si>
  <si>
    <t>London Hillingdon</t>
  </si>
  <si>
    <t>Date</t>
  </si>
  <si>
    <t>Time</t>
  </si>
  <si>
    <t>Nitrogen dioxide</t>
  </si>
  <si>
    <t>No data</t>
  </si>
  <si>
    <t>End</t>
  </si>
  <si>
    <t>All measurements are in microgrammes per cubic metre</t>
  </si>
  <si>
    <t>All measurements are provisional</t>
  </si>
  <si>
    <t>http://www.metoffice.gov.uk/education/index.html</t>
  </si>
  <si>
    <t>EDINBURGH GOGARBANK</t>
  </si>
  <si>
    <t>LATITUDE</t>
  </si>
  <si>
    <t>55_56N</t>
  </si>
  <si>
    <t>LONGITUDE</t>
  </si>
  <si>
    <t xml:space="preserve">  3_21W</t>
  </si>
  <si>
    <t>ALTITUDE</t>
  </si>
  <si>
    <t xml:space="preserve">  57m</t>
  </si>
  <si>
    <t xml:space="preserve">                                                                                                             </t>
  </si>
  <si>
    <t>DAY</t>
  </si>
  <si>
    <t>MAXTEMP</t>
  </si>
  <si>
    <t>MINTEMP</t>
  </si>
  <si>
    <t>RAIN</t>
  </si>
  <si>
    <t>SUN</t>
  </si>
  <si>
    <t>GRASS MIN</t>
  </si>
  <si>
    <t>WIND SPEED</t>
  </si>
  <si>
    <t>WIND DIRECTION</t>
  </si>
  <si>
    <t>GUST</t>
  </si>
  <si>
    <t>WEATHER</t>
  </si>
  <si>
    <t xml:space="preserve">      </t>
  </si>
  <si>
    <t xml:space="preserve">   ---</t>
  </si>
  <si>
    <t xml:space="preserve">                                                                                                                      </t>
  </si>
  <si>
    <t>---</t>
  </si>
  <si>
    <t>KEY</t>
  </si>
  <si>
    <t>Maximum temperature in the 24 hours from 0900 GMT</t>
  </si>
  <si>
    <t>Minimum temperature in the 24 hours to 0900 GMT</t>
  </si>
  <si>
    <t>Rainfall in millimetres in the 24 hours from 0900 GMT</t>
  </si>
  <si>
    <t>Sunshine amount in the 24 hours from 0000 GMT</t>
  </si>
  <si>
    <t>Grass minimum temperature in the 24 hours from 0900 GMT</t>
  </si>
  <si>
    <t>Mean wind speed in the 24 hours from 0000 GMT</t>
  </si>
  <si>
    <t>Wind direction at 0900 GMT</t>
  </si>
  <si>
    <t>Maximum gust in the 24 hours from 0000 GMT</t>
  </si>
  <si>
    <t>s</t>
  </si>
  <si>
    <t>snow or sleet fell in the 24 hours from 0000 GMT</t>
  </si>
  <si>
    <t>x</t>
  </si>
  <si>
    <t>snow lying at 0900 GMT (over half the ground representative of the site was covered with snow)</t>
  </si>
  <si>
    <t>h</t>
  </si>
  <si>
    <t>hail fell in the 24 hours from 0000 GMT</t>
  </si>
  <si>
    <t>t</t>
  </si>
  <si>
    <t>thunder was heard in the 24 hours from 0000 GMT</t>
  </si>
  <si>
    <t>f</t>
  </si>
  <si>
    <t>fog at 0900 GMT (horizontal visibility  less than 1000m)</t>
  </si>
  <si>
    <t>g</t>
  </si>
  <si>
    <t>gale occurred in the 24 hours from 0000 GMT (mean wind speed reached 34 knots or more)</t>
  </si>
  <si>
    <t>data not available</t>
  </si>
  <si>
    <t>Met Office (C) Crown Copyright 2004</t>
  </si>
  <si>
    <t xml:space="preserve">For the latest weather data and educational resources please see website at </t>
  </si>
  <si>
    <t>HEATHROW</t>
  </si>
  <si>
    <t>51_29N</t>
  </si>
  <si>
    <t xml:space="preserve">  0_27W</t>
  </si>
  <si>
    <t xml:space="preserve">  25m</t>
  </si>
  <si>
    <t xml:space="preserve">     t</t>
  </si>
  <si>
    <t>ST ATHAN</t>
  </si>
  <si>
    <t>51_24N</t>
  </si>
  <si>
    <t xml:space="preserve">  3_26W</t>
  </si>
  <si>
    <t xml:space="preserve">  49m</t>
  </si>
  <si>
    <r>
      <t>For up-to date information, see</t>
    </r>
    <r>
      <rPr>
        <u val="single"/>
        <sz val="10"/>
        <rFont val="Arial"/>
        <family val="2"/>
      </rPr>
      <t xml:space="preserve"> </t>
    </r>
    <r>
      <rPr>
        <u val="single"/>
        <sz val="10"/>
        <color indexed="12"/>
        <rFont val="Arial"/>
        <family val="0"/>
      </rPr>
      <t>http://www.airquality.co.uk/ ,</t>
    </r>
    <r>
      <rPr>
        <sz val="10"/>
        <rFont val="Arial"/>
        <family val="2"/>
      </rPr>
      <t>the website of the UK National Air Quality Information Archive maintained by Defra and the Devolved Administrations).</t>
    </r>
  </si>
  <si>
    <t xml:space="preserve">RAW data measurements supplied by Netcen </t>
  </si>
  <si>
    <t>N</t>
  </si>
  <si>
    <t>E</t>
  </si>
  <si>
    <t>NE</t>
  </si>
  <si>
    <t>SE</t>
  </si>
  <si>
    <t>S</t>
  </si>
  <si>
    <t>SW</t>
  </si>
  <si>
    <t>W</t>
  </si>
  <si>
    <t>NW</t>
  </si>
  <si>
    <t>Sulfur dioxide</t>
  </si>
  <si>
    <t>MAY-JUNE 2004</t>
  </si>
  <si>
    <t>MAX TEMP (deg C)</t>
  </si>
  <si>
    <t>MIN TEMP (deg C)</t>
  </si>
  <si>
    <t>RAIN (mm)</t>
  </si>
  <si>
    <t>SUN (hours)</t>
  </si>
  <si>
    <t>WIND SPEED (knots)</t>
  </si>
  <si>
    <t>WIND DIRECTION (deg)</t>
  </si>
  <si>
    <t>WIND (compass)</t>
  </si>
  <si>
    <t>GUST (knots)</t>
  </si>
  <si>
    <t>WEATHER (see key)</t>
  </si>
  <si>
    <t>TIME (hour)</t>
  </si>
  <si>
    <t>GRASS MIN  (deg C)</t>
  </si>
  <si>
    <t>Met Office data</t>
  </si>
  <si>
    <t xml:space="preserve">Met Office data </t>
  </si>
  <si>
    <t xml:space="preserve">NITROGEN DIOXIDE </t>
  </si>
  <si>
    <t xml:space="preserve">SULFUR DIOXIDE </t>
  </si>
  <si>
    <t xml:space="preserve">Air quality data from  http://www.airquality.co.uk/ ,the website of the UK National Air Quality Information Archive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</si>
</sst>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72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2" borderId="2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1" fontId="0" fillId="2" borderId="8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" borderId="12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1" fontId="0" fillId="5" borderId="0" xfId="0" applyNumberFormat="1" applyFill="1" applyAlignment="1">
      <alignment/>
    </xf>
    <xf numFmtId="46" fontId="0" fillId="5" borderId="0" xfId="0" applyNumberFormat="1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8" fillId="6" borderId="0" xfId="0" applyFont="1" applyFill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4" fontId="0" fillId="7" borderId="0" xfId="0" applyNumberFormat="1" applyFill="1" applyAlignment="1">
      <alignment/>
    </xf>
    <xf numFmtId="2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workbookViewId="0" topLeftCell="K1">
      <selection activeCell="M1" sqref="M1"/>
    </sheetView>
  </sheetViews>
  <sheetFormatPr defaultColWidth="9.140625" defaultRowHeight="12.75"/>
  <cols>
    <col min="1" max="1" width="7.57421875" style="52" customWidth="1"/>
    <col min="2" max="2" width="8.140625" style="22" customWidth="1"/>
    <col min="3" max="4" width="9.140625" style="22" customWidth="1"/>
    <col min="5" max="5" width="9.57421875" style="22" customWidth="1"/>
    <col min="6" max="6" width="9.140625" style="22" customWidth="1"/>
    <col min="7" max="7" width="8.8515625" style="22" customWidth="1"/>
    <col min="8" max="8" width="7.7109375" style="22" customWidth="1"/>
    <col min="9" max="9" width="11.28125" style="22" customWidth="1"/>
    <col min="10" max="10" width="9.7109375" style="22" customWidth="1"/>
    <col min="11" max="12" width="10.7109375" style="22" customWidth="1"/>
    <col min="13" max="13" width="11.7109375" style="22" customWidth="1"/>
    <col min="14" max="14" width="11.28125" style="22" customWidth="1"/>
    <col min="15" max="15" width="10.140625" style="22" customWidth="1"/>
    <col min="16" max="16" width="9.140625" style="22" customWidth="1"/>
    <col min="17" max="17" width="17.7109375" style="52" customWidth="1"/>
    <col min="18" max="20" width="10.8515625" style="52" customWidth="1"/>
    <col min="21" max="21" width="10.57421875" style="22" customWidth="1"/>
    <col min="22" max="22" width="9.140625" style="22" customWidth="1"/>
    <col min="23" max="23" width="9.57421875" style="22" customWidth="1"/>
    <col min="24" max="24" width="9.140625" style="22" customWidth="1"/>
    <col min="25" max="25" width="11.28125" style="22" customWidth="1"/>
    <col min="26" max="26" width="12.7109375" style="22" customWidth="1"/>
    <col min="27" max="27" width="16.57421875" style="22" customWidth="1"/>
    <col min="28" max="28" width="9.421875" style="22" customWidth="1"/>
    <col min="29" max="30" width="10.140625" style="22" customWidth="1"/>
    <col min="31" max="16384" width="9.140625" style="22" customWidth="1"/>
  </cols>
  <sheetData>
    <row r="1" spans="1:13" ht="12.75">
      <c r="A1" s="75" t="s">
        <v>91</v>
      </c>
      <c r="M1" s="22" t="s">
        <v>94</v>
      </c>
    </row>
    <row r="2" spans="1:20" ht="12.75">
      <c r="A2" s="27" t="s">
        <v>57</v>
      </c>
      <c r="Q2" s="27"/>
      <c r="R2" s="27"/>
      <c r="S2" s="27"/>
      <c r="T2" s="27"/>
    </row>
    <row r="3" spans="1:20" ht="12.75">
      <c r="A3" s="27" t="s">
        <v>11</v>
      </c>
      <c r="Q3" s="27"/>
      <c r="R3" s="27"/>
      <c r="S3" s="27"/>
      <c r="T3" s="27"/>
    </row>
    <row r="6" spans="1:30" ht="12.75">
      <c r="A6" s="52" t="s">
        <v>63</v>
      </c>
      <c r="B6" s="52"/>
      <c r="C6" s="52"/>
      <c r="D6" s="52"/>
      <c r="E6" s="52" t="s">
        <v>13</v>
      </c>
      <c r="F6" s="52" t="s">
        <v>64</v>
      </c>
      <c r="G6" s="52" t="s">
        <v>15</v>
      </c>
      <c r="H6" s="52" t="s">
        <v>65</v>
      </c>
      <c r="I6" s="52" t="s">
        <v>17</v>
      </c>
      <c r="J6" s="52" t="s">
        <v>66</v>
      </c>
      <c r="M6" s="52"/>
      <c r="N6" s="52"/>
      <c r="O6" s="52"/>
      <c r="Q6" s="53"/>
      <c r="R6" s="53"/>
      <c r="S6" s="53"/>
      <c r="T6" s="53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2:30" ht="12.7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2.75">
      <c r="A8" s="55"/>
      <c r="B8" s="55"/>
      <c r="C8" s="55"/>
      <c r="D8" s="55"/>
      <c r="F8" s="11" t="s">
        <v>78</v>
      </c>
      <c r="G8" s="52"/>
      <c r="H8" s="52"/>
      <c r="I8" s="52"/>
      <c r="J8" s="52"/>
      <c r="K8" s="52"/>
      <c r="L8" s="52"/>
      <c r="M8" s="52"/>
      <c r="N8" s="52"/>
      <c r="O8" s="52"/>
      <c r="Q8" s="56"/>
      <c r="R8" s="56"/>
      <c r="S8" s="56"/>
      <c r="T8" s="56"/>
      <c r="U8" s="56"/>
      <c r="V8" s="56"/>
      <c r="W8" s="56"/>
      <c r="X8" s="56"/>
      <c r="Y8" s="54"/>
      <c r="Z8" s="54"/>
      <c r="AA8" s="54"/>
      <c r="AB8" s="54"/>
      <c r="AC8" s="54"/>
      <c r="AD8" s="54"/>
    </row>
    <row r="9" spans="2:30" ht="13.5" thickBot="1">
      <c r="B9" s="11"/>
      <c r="Q9" s="54"/>
      <c r="R9" s="54"/>
      <c r="S9" s="54"/>
      <c r="T9" s="54"/>
      <c r="U9" s="16"/>
      <c r="V9" s="57"/>
      <c r="W9" s="57"/>
      <c r="X9" s="57"/>
      <c r="Y9" s="57"/>
      <c r="Z9" s="57"/>
      <c r="AA9" s="57"/>
      <c r="AB9" s="57"/>
      <c r="AC9" s="57"/>
      <c r="AD9" s="57"/>
    </row>
    <row r="10" spans="1:29" ht="51.75" thickTop="1">
      <c r="A10" s="50" t="s">
        <v>20</v>
      </c>
      <c r="B10" s="51" t="s">
        <v>79</v>
      </c>
      <c r="C10" s="51" t="s">
        <v>80</v>
      </c>
      <c r="D10" s="51" t="s">
        <v>89</v>
      </c>
      <c r="E10" s="51" t="s">
        <v>81</v>
      </c>
      <c r="F10" s="51" t="s">
        <v>82</v>
      </c>
      <c r="G10" s="51" t="s">
        <v>83</v>
      </c>
      <c r="H10" s="51" t="s">
        <v>84</v>
      </c>
      <c r="I10" s="51" t="s">
        <v>85</v>
      </c>
      <c r="J10" s="51" t="s">
        <v>86</v>
      </c>
      <c r="K10" s="51" t="s">
        <v>87</v>
      </c>
      <c r="L10" s="51" t="s">
        <v>88</v>
      </c>
      <c r="M10" s="51" t="s">
        <v>92</v>
      </c>
      <c r="N10" s="77" t="s">
        <v>93</v>
      </c>
      <c r="P10" s="58" t="s">
        <v>34</v>
      </c>
      <c r="Q10" s="58"/>
      <c r="R10" s="58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38">
        <v>1</v>
      </c>
      <c r="B11" s="44">
        <v>13.1</v>
      </c>
      <c r="C11" s="44">
        <v>9.1</v>
      </c>
      <c r="D11" s="44">
        <v>8.1</v>
      </c>
      <c r="E11" s="44">
        <v>0.4</v>
      </c>
      <c r="F11" s="44">
        <v>0</v>
      </c>
      <c r="G11" s="45">
        <v>7</v>
      </c>
      <c r="H11" s="45">
        <v>50</v>
      </c>
      <c r="I11" s="45" t="str">
        <f aca="true" t="shared" si="0" ref="I11:I41">VLOOKUP(H11,WIND,2)</f>
        <v>NE</v>
      </c>
      <c r="J11" s="45">
        <v>23</v>
      </c>
      <c r="K11" s="45" t="s">
        <v>30</v>
      </c>
      <c r="L11" s="69">
        <v>0.5416666666666666</v>
      </c>
      <c r="M11" s="39">
        <f>VLOOKUP(L11,car1,2)</f>
        <v>40</v>
      </c>
      <c r="N11" s="70">
        <f>VLOOKUP(L11,car1,3)</f>
        <v>0</v>
      </c>
      <c r="P11" s="52"/>
      <c r="S11" s="21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.75">
      <c r="A12" s="38">
        <v>2</v>
      </c>
      <c r="B12" s="44">
        <v>16</v>
      </c>
      <c r="C12" s="44">
        <v>8.1</v>
      </c>
      <c r="D12" s="44">
        <v>6.9</v>
      </c>
      <c r="E12" s="44">
        <v>0.4</v>
      </c>
      <c r="F12" s="44">
        <v>7.9</v>
      </c>
      <c r="G12" s="45">
        <v>6</v>
      </c>
      <c r="H12" s="45">
        <v>130</v>
      </c>
      <c r="I12" s="45" t="str">
        <f t="shared" si="0"/>
        <v>SE</v>
      </c>
      <c r="J12" s="45">
        <v>16</v>
      </c>
      <c r="K12" s="45" t="s">
        <v>30</v>
      </c>
      <c r="L12" s="69">
        <f aca="true" t="shared" si="1" ref="L12:L43">$L$11</f>
        <v>0.5416666666666666</v>
      </c>
      <c r="M12" s="39">
        <f>VLOOKUP(L12,car2,2)</f>
        <v>17</v>
      </c>
      <c r="N12" s="70">
        <f>VLOOKUP(L12,car2,3)</f>
        <v>0</v>
      </c>
      <c r="P12" s="52" t="s">
        <v>21</v>
      </c>
      <c r="Q12" s="22" t="s">
        <v>35</v>
      </c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.75">
      <c r="A13" s="38">
        <v>3</v>
      </c>
      <c r="B13" s="44">
        <v>13.5</v>
      </c>
      <c r="C13" s="44">
        <v>9.3</v>
      </c>
      <c r="D13" s="44">
        <v>9.1</v>
      </c>
      <c r="E13" s="44">
        <v>10.4</v>
      </c>
      <c r="F13" s="44">
        <v>5.4</v>
      </c>
      <c r="G13" s="45">
        <v>12</v>
      </c>
      <c r="H13" s="45">
        <v>300</v>
      </c>
      <c r="I13" s="45" t="str">
        <f t="shared" si="0"/>
        <v>NW</v>
      </c>
      <c r="J13" s="45">
        <v>26</v>
      </c>
      <c r="K13" s="45" t="s">
        <v>30</v>
      </c>
      <c r="L13" s="69">
        <f t="shared" si="1"/>
        <v>0.5416666666666666</v>
      </c>
      <c r="M13" s="39">
        <f>VLOOKUP(L13,car3,2)</f>
        <v>13</v>
      </c>
      <c r="N13" s="70">
        <f>VLOOKUP(L13,car3,3)</f>
        <v>0</v>
      </c>
      <c r="P13" s="52" t="s">
        <v>22</v>
      </c>
      <c r="Q13" s="22" t="s">
        <v>36</v>
      </c>
      <c r="S13" s="23"/>
      <c r="T13" s="18"/>
      <c r="U13" s="18"/>
      <c r="V13" s="18"/>
      <c r="W13" s="18"/>
      <c r="X13" s="18"/>
      <c r="Y13" s="17"/>
      <c r="Z13" s="17"/>
      <c r="AA13" s="17"/>
      <c r="AB13" s="17"/>
      <c r="AC13" s="17"/>
    </row>
    <row r="14" spans="1:29" ht="12.75">
      <c r="A14" s="38">
        <v>4</v>
      </c>
      <c r="B14" s="44">
        <v>11.1</v>
      </c>
      <c r="C14" s="44">
        <v>7.6</v>
      </c>
      <c r="D14" s="44">
        <v>7</v>
      </c>
      <c r="E14" s="44">
        <v>1.8</v>
      </c>
      <c r="F14" s="44">
        <v>4.5</v>
      </c>
      <c r="G14" s="45">
        <v>19</v>
      </c>
      <c r="H14" s="45">
        <v>270</v>
      </c>
      <c r="I14" s="45" t="str">
        <f t="shared" si="0"/>
        <v>W</v>
      </c>
      <c r="J14" s="45">
        <v>41</v>
      </c>
      <c r="K14" s="45" t="s">
        <v>30</v>
      </c>
      <c r="L14" s="69">
        <f t="shared" si="1"/>
        <v>0.5416666666666666</v>
      </c>
      <c r="M14" s="39">
        <f>VLOOKUP(L14,car4,2)</f>
        <v>17</v>
      </c>
      <c r="N14" s="70">
        <f>VLOOKUP(L14,car4,3)</f>
        <v>0</v>
      </c>
      <c r="P14" s="52" t="s">
        <v>23</v>
      </c>
      <c r="Q14" s="22" t="s">
        <v>37</v>
      </c>
      <c r="S14" s="23"/>
      <c r="T14" s="18"/>
      <c r="U14" s="18"/>
      <c r="V14" s="18"/>
      <c r="W14" s="18"/>
      <c r="X14" s="18"/>
      <c r="Y14" s="17"/>
      <c r="Z14" s="17"/>
      <c r="AA14" s="17"/>
      <c r="AB14" s="17"/>
      <c r="AC14" s="17"/>
    </row>
    <row r="15" spans="1:29" ht="12.75">
      <c r="A15" s="38">
        <v>5</v>
      </c>
      <c r="B15" s="44">
        <v>10.7</v>
      </c>
      <c r="C15" s="44">
        <v>7.1</v>
      </c>
      <c r="D15" s="44">
        <v>5.7</v>
      </c>
      <c r="E15" s="44">
        <v>0.8</v>
      </c>
      <c r="F15" s="44">
        <v>0.8</v>
      </c>
      <c r="G15" s="45">
        <v>15</v>
      </c>
      <c r="H15" s="45">
        <v>290</v>
      </c>
      <c r="I15" s="45" t="str">
        <f t="shared" si="0"/>
        <v>W</v>
      </c>
      <c r="J15" s="45">
        <v>31</v>
      </c>
      <c r="K15" s="45" t="s">
        <v>30</v>
      </c>
      <c r="L15" s="69">
        <f t="shared" si="1"/>
        <v>0.5416666666666666</v>
      </c>
      <c r="M15" s="39">
        <f>VLOOKUP(L15,car5,2)</f>
        <v>23</v>
      </c>
      <c r="N15" s="70">
        <f>VLOOKUP(L15,car5,3)</f>
        <v>0</v>
      </c>
      <c r="P15" s="52" t="s">
        <v>24</v>
      </c>
      <c r="Q15" s="22" t="s">
        <v>38</v>
      </c>
      <c r="S15" s="23"/>
      <c r="T15" s="18"/>
      <c r="U15" s="18"/>
      <c r="V15" s="18"/>
      <c r="W15" s="18"/>
      <c r="X15" s="18"/>
      <c r="Y15" s="17"/>
      <c r="Z15" s="17"/>
      <c r="AA15" s="17"/>
      <c r="AB15" s="17"/>
      <c r="AC15" s="17"/>
    </row>
    <row r="16" spans="1:29" ht="12.75">
      <c r="A16" s="38">
        <v>6</v>
      </c>
      <c r="B16" s="44">
        <v>11.7</v>
      </c>
      <c r="C16" s="44">
        <v>7.8</v>
      </c>
      <c r="D16" s="44">
        <v>6.4</v>
      </c>
      <c r="E16" s="44">
        <v>0.2</v>
      </c>
      <c r="F16" s="44">
        <v>4.9</v>
      </c>
      <c r="G16" s="45">
        <v>12</v>
      </c>
      <c r="H16" s="45">
        <v>290</v>
      </c>
      <c r="I16" s="45" t="str">
        <f t="shared" si="0"/>
        <v>W</v>
      </c>
      <c r="J16" s="45">
        <v>24</v>
      </c>
      <c r="K16" s="45" t="s">
        <v>30</v>
      </c>
      <c r="L16" s="69">
        <f t="shared" si="1"/>
        <v>0.5416666666666666</v>
      </c>
      <c r="M16" s="39">
        <f>VLOOKUP(L16,car6,2)</f>
        <v>21</v>
      </c>
      <c r="N16" s="70">
        <f>VLOOKUP(L16,car6,3)</f>
        <v>0</v>
      </c>
      <c r="P16" s="52" t="s">
        <v>25</v>
      </c>
      <c r="Q16" s="22" t="s">
        <v>39</v>
      </c>
      <c r="S16" s="23"/>
      <c r="T16" s="18"/>
      <c r="U16" s="18"/>
      <c r="V16" s="18"/>
      <c r="W16" s="18"/>
      <c r="X16" s="18"/>
      <c r="Y16" s="17"/>
      <c r="Z16" s="17"/>
      <c r="AA16" s="17"/>
      <c r="AB16" s="17"/>
      <c r="AC16" s="17"/>
    </row>
    <row r="17" spans="1:29" ht="12.75">
      <c r="A17" s="38">
        <v>7</v>
      </c>
      <c r="B17" s="44">
        <v>14.1</v>
      </c>
      <c r="C17" s="44">
        <v>3.5</v>
      </c>
      <c r="D17" s="44">
        <v>0.7</v>
      </c>
      <c r="E17" s="44">
        <v>0</v>
      </c>
      <c r="F17" s="44">
        <v>10.1</v>
      </c>
      <c r="G17" s="45">
        <v>9</v>
      </c>
      <c r="H17" s="45">
        <v>280</v>
      </c>
      <c r="I17" s="45" t="str">
        <f t="shared" si="0"/>
        <v>W</v>
      </c>
      <c r="J17" s="45">
        <v>25</v>
      </c>
      <c r="K17" s="45" t="s">
        <v>30</v>
      </c>
      <c r="L17" s="69">
        <f t="shared" si="1"/>
        <v>0.5416666666666666</v>
      </c>
      <c r="M17" s="39">
        <f>VLOOKUP(L17,car7,2)</f>
        <v>27</v>
      </c>
      <c r="N17" s="70">
        <f>VLOOKUP(L17,car7,3)</f>
        <v>3</v>
      </c>
      <c r="P17" s="52" t="s">
        <v>26</v>
      </c>
      <c r="Q17" s="22" t="s">
        <v>40</v>
      </c>
      <c r="S17" s="23"/>
      <c r="T17" s="18"/>
      <c r="U17" s="18"/>
      <c r="V17" s="18"/>
      <c r="W17" s="18"/>
      <c r="X17" s="18"/>
      <c r="Y17" s="17"/>
      <c r="Z17" s="17"/>
      <c r="AA17" s="17"/>
      <c r="AB17" s="17"/>
      <c r="AC17" s="17"/>
    </row>
    <row r="18" spans="1:29" ht="12.75">
      <c r="A18" s="38">
        <v>8</v>
      </c>
      <c r="B18" s="44">
        <v>10.9</v>
      </c>
      <c r="C18" s="44">
        <v>8</v>
      </c>
      <c r="D18" s="44">
        <v>4.9</v>
      </c>
      <c r="E18" s="44">
        <v>0</v>
      </c>
      <c r="F18" s="44">
        <v>0.3</v>
      </c>
      <c r="G18" s="45">
        <v>13</v>
      </c>
      <c r="H18" s="45">
        <v>310</v>
      </c>
      <c r="I18" s="45" t="str">
        <f t="shared" si="0"/>
        <v>NW</v>
      </c>
      <c r="J18" s="45">
        <v>27</v>
      </c>
      <c r="K18" s="45" t="s">
        <v>30</v>
      </c>
      <c r="L18" s="69">
        <f t="shared" si="1"/>
        <v>0.5416666666666666</v>
      </c>
      <c r="M18" s="39">
        <f>VLOOKUP(L18,car8,2)</f>
        <v>13</v>
      </c>
      <c r="N18" s="70">
        <f>VLOOKUP(L18,car8,3)</f>
        <v>0</v>
      </c>
      <c r="P18" s="52" t="s">
        <v>27</v>
      </c>
      <c r="Q18" s="22" t="s">
        <v>41</v>
      </c>
      <c r="S18" s="23"/>
      <c r="T18" s="18"/>
      <c r="U18" s="18"/>
      <c r="V18" s="18"/>
      <c r="W18" s="18"/>
      <c r="X18" s="18"/>
      <c r="Y18" s="17"/>
      <c r="Z18" s="17"/>
      <c r="AA18" s="17"/>
      <c r="AB18" s="17"/>
      <c r="AC18" s="17"/>
    </row>
    <row r="19" spans="1:29" ht="12.75">
      <c r="A19" s="38">
        <v>9</v>
      </c>
      <c r="B19" s="44">
        <v>13.3</v>
      </c>
      <c r="C19" s="44">
        <v>9.2</v>
      </c>
      <c r="D19" s="44">
        <v>8.7</v>
      </c>
      <c r="E19" s="44">
        <v>0.4</v>
      </c>
      <c r="F19" s="44">
        <v>0.1</v>
      </c>
      <c r="G19" s="45">
        <v>7</v>
      </c>
      <c r="H19" s="45">
        <v>300</v>
      </c>
      <c r="I19" s="45" t="str">
        <f t="shared" si="0"/>
        <v>NW</v>
      </c>
      <c r="J19" s="45">
        <v>16</v>
      </c>
      <c r="K19" s="45" t="s">
        <v>30</v>
      </c>
      <c r="L19" s="69">
        <f t="shared" si="1"/>
        <v>0.5416666666666666</v>
      </c>
      <c r="M19" s="39">
        <f>VLOOKUP(L19,car9,2)</f>
        <v>15</v>
      </c>
      <c r="N19" s="70">
        <f>VLOOKUP(L19,car9,3)</f>
        <v>5</v>
      </c>
      <c r="P19" s="52" t="s">
        <v>28</v>
      </c>
      <c r="Q19" s="22" t="s">
        <v>42</v>
      </c>
      <c r="S19" s="23"/>
      <c r="T19" s="18"/>
      <c r="U19" s="18"/>
      <c r="V19" s="18"/>
      <c r="W19" s="18"/>
      <c r="X19" s="18"/>
      <c r="Y19" s="17"/>
      <c r="Z19" s="17"/>
      <c r="AA19" s="17"/>
      <c r="AB19" s="17"/>
      <c r="AC19" s="17"/>
    </row>
    <row r="20" spans="1:29" ht="12.75">
      <c r="A20" s="38">
        <v>10</v>
      </c>
      <c r="B20" s="44">
        <v>17.9</v>
      </c>
      <c r="C20" s="44">
        <v>8.8</v>
      </c>
      <c r="D20" s="44">
        <v>6.2</v>
      </c>
      <c r="E20" s="44">
        <v>0</v>
      </c>
      <c r="F20" s="44">
        <v>5.7</v>
      </c>
      <c r="G20" s="45">
        <v>5</v>
      </c>
      <c r="H20" s="45">
        <v>290</v>
      </c>
      <c r="I20" s="45" t="str">
        <f t="shared" si="0"/>
        <v>W</v>
      </c>
      <c r="J20" s="45">
        <v>15</v>
      </c>
      <c r="K20" s="45" t="s">
        <v>30</v>
      </c>
      <c r="L20" s="69">
        <f t="shared" si="1"/>
        <v>0.5416666666666666</v>
      </c>
      <c r="M20" s="39">
        <f>VLOOKUP(L20,car10,2)</f>
        <v>31</v>
      </c>
      <c r="N20" s="70">
        <f>VLOOKUP(L20,car10,3)</f>
        <v>11</v>
      </c>
      <c r="P20" s="52" t="s">
        <v>29</v>
      </c>
      <c r="Q20" s="22"/>
      <c r="S20" s="23"/>
      <c r="T20" s="18"/>
      <c r="U20" s="18"/>
      <c r="V20" s="18"/>
      <c r="W20" s="18"/>
      <c r="X20" s="18"/>
      <c r="Y20" s="17"/>
      <c r="Z20" s="17"/>
      <c r="AA20" s="17"/>
      <c r="AB20" s="17"/>
      <c r="AC20" s="17"/>
    </row>
    <row r="21" spans="1:29" ht="12.75">
      <c r="A21" s="38">
        <v>11</v>
      </c>
      <c r="B21" s="44">
        <v>18.9</v>
      </c>
      <c r="C21" s="44">
        <v>10</v>
      </c>
      <c r="D21" s="44">
        <v>6.1</v>
      </c>
      <c r="E21" s="44">
        <v>0</v>
      </c>
      <c r="F21" s="44">
        <v>5.4</v>
      </c>
      <c r="G21" s="45">
        <v>4</v>
      </c>
      <c r="H21" s="45">
        <v>120</v>
      </c>
      <c r="I21" s="45" t="str">
        <f t="shared" si="0"/>
        <v>SE</v>
      </c>
      <c r="J21" s="45">
        <v>12</v>
      </c>
      <c r="K21" s="45" t="s">
        <v>30</v>
      </c>
      <c r="L21" s="69">
        <f t="shared" si="1"/>
        <v>0.5416666666666666</v>
      </c>
      <c r="M21" s="39">
        <f>VLOOKUP(L21,car11,2)</f>
        <v>17</v>
      </c>
      <c r="N21" s="70">
        <f>VLOOKUP(L21,car11,3)</f>
        <v>3</v>
      </c>
      <c r="P21" s="52" t="s">
        <v>43</v>
      </c>
      <c r="Q21" s="22" t="s">
        <v>44</v>
      </c>
      <c r="S21" s="23"/>
      <c r="T21" s="18"/>
      <c r="U21" s="18"/>
      <c r="V21" s="18"/>
      <c r="W21" s="18"/>
      <c r="X21" s="18"/>
      <c r="Y21" s="17"/>
      <c r="Z21" s="17"/>
      <c r="AA21" s="17"/>
      <c r="AB21" s="17"/>
      <c r="AC21" s="17"/>
    </row>
    <row r="22" spans="1:29" ht="12.75">
      <c r="A22" s="38">
        <v>12</v>
      </c>
      <c r="B22" s="44">
        <v>14.4</v>
      </c>
      <c r="C22" s="44">
        <v>10.5</v>
      </c>
      <c r="D22" s="44">
        <v>7.5</v>
      </c>
      <c r="E22" s="44">
        <v>0</v>
      </c>
      <c r="F22" s="44">
        <v>0</v>
      </c>
      <c r="G22" s="45">
        <v>5</v>
      </c>
      <c r="H22" s="45">
        <v>80</v>
      </c>
      <c r="I22" s="45" t="str">
        <f t="shared" si="0"/>
        <v>E</v>
      </c>
      <c r="J22" s="45">
        <v>11</v>
      </c>
      <c r="K22" s="45" t="s">
        <v>30</v>
      </c>
      <c r="L22" s="69">
        <f t="shared" si="1"/>
        <v>0.5416666666666666</v>
      </c>
      <c r="M22" s="39">
        <f>VLOOKUP(L22,car12,2)</f>
        <v>34</v>
      </c>
      <c r="N22" s="70">
        <f>VLOOKUP(L22,car12,3)</f>
        <v>19</v>
      </c>
      <c r="P22" s="52" t="s">
        <v>45</v>
      </c>
      <c r="Q22" s="22" t="s">
        <v>46</v>
      </c>
      <c r="S22" s="23"/>
      <c r="T22" s="18"/>
      <c r="U22" s="18"/>
      <c r="V22" s="18"/>
      <c r="W22" s="18"/>
      <c r="X22" s="18"/>
      <c r="Y22" s="17"/>
      <c r="Z22" s="17"/>
      <c r="AA22" s="17"/>
      <c r="AB22" s="17"/>
      <c r="AC22" s="17"/>
    </row>
    <row r="23" spans="1:29" ht="12.75">
      <c r="A23" s="38">
        <v>13</v>
      </c>
      <c r="B23" s="44">
        <v>15.5</v>
      </c>
      <c r="C23" s="44">
        <v>9.6</v>
      </c>
      <c r="D23" s="44">
        <v>6.1</v>
      </c>
      <c r="E23" s="44">
        <v>0</v>
      </c>
      <c r="F23" s="44">
        <v>4.8</v>
      </c>
      <c r="G23" s="45">
        <v>7</v>
      </c>
      <c r="H23" s="45">
        <v>250</v>
      </c>
      <c r="I23" s="45" t="str">
        <f t="shared" si="0"/>
        <v>W</v>
      </c>
      <c r="J23" s="45">
        <v>17</v>
      </c>
      <c r="K23" s="45" t="s">
        <v>30</v>
      </c>
      <c r="L23" s="69">
        <f t="shared" si="1"/>
        <v>0.5416666666666666</v>
      </c>
      <c r="M23" s="39">
        <f>VLOOKUP(L23,car13,2)</f>
        <v>0</v>
      </c>
      <c r="N23" s="70">
        <f>VLOOKUP(L23,car13,3)</f>
        <v>16</v>
      </c>
      <c r="P23" s="52" t="s">
        <v>47</v>
      </c>
      <c r="Q23" s="22" t="s">
        <v>48</v>
      </c>
      <c r="S23" s="23"/>
      <c r="T23" s="18"/>
      <c r="U23" s="18"/>
      <c r="V23" s="18"/>
      <c r="W23" s="18"/>
      <c r="X23" s="18"/>
      <c r="Y23" s="17"/>
      <c r="Z23" s="17"/>
      <c r="AA23" s="17"/>
      <c r="AB23" s="17"/>
      <c r="AC23" s="17"/>
    </row>
    <row r="24" spans="1:29" ht="12.75">
      <c r="A24" s="38">
        <v>14</v>
      </c>
      <c r="B24" s="44">
        <v>17.5</v>
      </c>
      <c r="C24" s="44">
        <v>6.1</v>
      </c>
      <c r="D24" s="44">
        <v>3.1</v>
      </c>
      <c r="E24" s="44">
        <v>0</v>
      </c>
      <c r="F24" s="44">
        <v>9.1</v>
      </c>
      <c r="G24" s="45">
        <v>5</v>
      </c>
      <c r="H24" s="45">
        <v>230</v>
      </c>
      <c r="I24" s="45" t="str">
        <f t="shared" si="0"/>
        <v>SW</v>
      </c>
      <c r="J24" s="45">
        <v>10</v>
      </c>
      <c r="K24" s="45" t="s">
        <v>30</v>
      </c>
      <c r="L24" s="69">
        <f t="shared" si="1"/>
        <v>0.5416666666666666</v>
      </c>
      <c r="M24" s="39">
        <f>VLOOKUP(L24,car14,2)</f>
        <v>27</v>
      </c>
      <c r="N24" s="70">
        <f>VLOOKUP(L24,car14,3)</f>
        <v>11</v>
      </c>
      <c r="P24" s="52" t="s">
        <v>49</v>
      </c>
      <c r="Q24" s="22" t="s">
        <v>50</v>
      </c>
      <c r="S24" s="23"/>
      <c r="T24" s="18"/>
      <c r="U24" s="18"/>
      <c r="V24" s="18"/>
      <c r="W24" s="18"/>
      <c r="X24" s="18"/>
      <c r="Y24" s="17"/>
      <c r="Z24" s="17"/>
      <c r="AA24" s="17"/>
      <c r="AB24" s="17"/>
      <c r="AC24" s="17"/>
    </row>
    <row r="25" spans="1:29" ht="12.75">
      <c r="A25" s="38">
        <v>15</v>
      </c>
      <c r="B25" s="44">
        <v>19.1</v>
      </c>
      <c r="C25" s="44">
        <v>8.1</v>
      </c>
      <c r="D25" s="44">
        <v>4.6</v>
      </c>
      <c r="E25" s="44">
        <v>0</v>
      </c>
      <c r="F25" s="44">
        <v>13.3</v>
      </c>
      <c r="G25" s="45">
        <v>5</v>
      </c>
      <c r="H25" s="45">
        <v>150</v>
      </c>
      <c r="I25" s="45" t="str">
        <f t="shared" si="0"/>
        <v>SE</v>
      </c>
      <c r="J25" s="45">
        <v>11</v>
      </c>
      <c r="K25" s="45" t="s">
        <v>30</v>
      </c>
      <c r="L25" s="69">
        <f t="shared" si="1"/>
        <v>0.5416666666666666</v>
      </c>
      <c r="M25" s="39">
        <f>VLOOKUP(L25,car15,2)</f>
        <v>10</v>
      </c>
      <c r="N25" s="70">
        <f>VLOOKUP(L25,car15,3)</f>
        <v>3</v>
      </c>
      <c r="P25" s="52" t="s">
        <v>51</v>
      </c>
      <c r="Q25" s="22" t="s">
        <v>52</v>
      </c>
      <c r="S25" s="23"/>
      <c r="T25" s="18"/>
      <c r="U25" s="18"/>
      <c r="V25" s="18"/>
      <c r="W25" s="18"/>
      <c r="X25" s="18"/>
      <c r="Y25" s="17"/>
      <c r="Z25" s="17"/>
      <c r="AA25" s="17"/>
      <c r="AB25" s="17"/>
      <c r="AC25" s="17"/>
    </row>
    <row r="26" spans="1:29" ht="12.75">
      <c r="A26" s="38">
        <v>16</v>
      </c>
      <c r="B26" s="44">
        <v>20.9</v>
      </c>
      <c r="C26" s="44">
        <v>10.3</v>
      </c>
      <c r="D26" s="44">
        <v>6.8</v>
      </c>
      <c r="E26" s="44">
        <v>0</v>
      </c>
      <c r="F26" s="44">
        <v>13.2</v>
      </c>
      <c r="G26" s="45">
        <v>4</v>
      </c>
      <c r="H26" s="45">
        <v>110</v>
      </c>
      <c r="I26" s="45" t="str">
        <f t="shared" si="0"/>
        <v>E</v>
      </c>
      <c r="J26" s="45">
        <v>11</v>
      </c>
      <c r="K26" s="45" t="s">
        <v>30</v>
      </c>
      <c r="L26" s="69">
        <f t="shared" si="1"/>
        <v>0.5416666666666666</v>
      </c>
      <c r="M26" s="39">
        <f>VLOOKUP(L26,car16,2)</f>
        <v>6</v>
      </c>
      <c r="N26" s="70">
        <f>VLOOKUP(L26,car16,3)</f>
        <v>3</v>
      </c>
      <c r="P26" s="52" t="s">
        <v>53</v>
      </c>
      <c r="Q26" s="22" t="s">
        <v>54</v>
      </c>
      <c r="S26" s="23"/>
      <c r="T26" s="18"/>
      <c r="U26" s="18"/>
      <c r="V26" s="18"/>
      <c r="W26" s="18"/>
      <c r="X26" s="18"/>
      <c r="Y26" s="17"/>
      <c r="Z26" s="17"/>
      <c r="AA26" s="17"/>
      <c r="AB26" s="17"/>
      <c r="AC26" s="17"/>
    </row>
    <row r="27" spans="1:29" ht="12.75">
      <c r="A27" s="38">
        <v>17</v>
      </c>
      <c r="B27" s="44">
        <v>19</v>
      </c>
      <c r="C27" s="44">
        <v>10</v>
      </c>
      <c r="D27" s="44">
        <v>7.6</v>
      </c>
      <c r="E27" s="44">
        <v>0</v>
      </c>
      <c r="F27" s="44">
        <v>12</v>
      </c>
      <c r="G27" s="45">
        <v>6</v>
      </c>
      <c r="H27" s="45">
        <v>260</v>
      </c>
      <c r="I27" s="45" t="str">
        <f t="shared" si="0"/>
        <v>W</v>
      </c>
      <c r="J27" s="45">
        <v>17</v>
      </c>
      <c r="K27" s="45" t="s">
        <v>30</v>
      </c>
      <c r="L27" s="69">
        <f t="shared" si="1"/>
        <v>0.5416666666666666</v>
      </c>
      <c r="M27" s="39">
        <f>VLOOKUP(L27,car17,2)</f>
        <v>11</v>
      </c>
      <c r="N27" s="70">
        <f>VLOOKUP(L27,car17,3)</f>
        <v>5</v>
      </c>
      <c r="P27" s="52" t="s">
        <v>32</v>
      </c>
      <c r="Q27" s="22"/>
      <c r="S27" s="23"/>
      <c r="T27" s="18"/>
      <c r="U27" s="18"/>
      <c r="V27" s="18"/>
      <c r="W27" s="18"/>
      <c r="X27" s="18"/>
      <c r="Y27" s="17"/>
      <c r="Z27" s="17"/>
      <c r="AA27" s="17"/>
      <c r="AB27" s="17"/>
      <c r="AC27" s="17"/>
    </row>
    <row r="28" spans="1:29" ht="12.75">
      <c r="A28" s="38">
        <v>18</v>
      </c>
      <c r="B28" s="44">
        <v>17.9</v>
      </c>
      <c r="C28" s="44">
        <v>8.3</v>
      </c>
      <c r="D28" s="44">
        <v>5.3</v>
      </c>
      <c r="E28" s="44">
        <v>0</v>
      </c>
      <c r="F28" s="44">
        <v>14.1</v>
      </c>
      <c r="G28" s="45">
        <v>6</v>
      </c>
      <c r="H28" s="45">
        <v>220</v>
      </c>
      <c r="I28" s="45" t="str">
        <f t="shared" si="0"/>
        <v>SW</v>
      </c>
      <c r="J28" s="45">
        <v>18</v>
      </c>
      <c r="K28" s="45" t="s">
        <v>30</v>
      </c>
      <c r="L28" s="69">
        <f t="shared" si="1"/>
        <v>0.5416666666666666</v>
      </c>
      <c r="M28" s="39">
        <f>VLOOKUP(L28,car18,2)</f>
        <v>23</v>
      </c>
      <c r="N28" s="70">
        <f>VLOOKUP(L28,car18,3)</f>
        <v>19</v>
      </c>
      <c r="P28" s="52"/>
      <c r="Q28" s="22"/>
      <c r="S28" s="23"/>
      <c r="T28" s="18"/>
      <c r="U28" s="18"/>
      <c r="V28" s="18"/>
      <c r="W28" s="18"/>
      <c r="X28" s="18"/>
      <c r="Y28" s="17"/>
      <c r="Z28" s="17"/>
      <c r="AA28" s="17"/>
      <c r="AB28" s="17"/>
      <c r="AC28" s="17"/>
    </row>
    <row r="29" spans="1:29" ht="12.75">
      <c r="A29" s="38">
        <v>19</v>
      </c>
      <c r="B29" s="44">
        <v>16.5</v>
      </c>
      <c r="C29" s="44">
        <v>10.8</v>
      </c>
      <c r="D29" s="44">
        <v>8.7</v>
      </c>
      <c r="E29" s="44">
        <v>0.2</v>
      </c>
      <c r="F29" s="44">
        <v>9.3</v>
      </c>
      <c r="G29" s="45">
        <v>10</v>
      </c>
      <c r="H29" s="45">
        <v>280</v>
      </c>
      <c r="I29" s="45" t="str">
        <f t="shared" si="0"/>
        <v>W</v>
      </c>
      <c r="J29" s="45">
        <v>22</v>
      </c>
      <c r="K29" s="45" t="s">
        <v>30</v>
      </c>
      <c r="L29" s="69">
        <f t="shared" si="1"/>
        <v>0.5416666666666666</v>
      </c>
      <c r="M29" s="39">
        <f>VLOOKUP(L29,car19,2)</f>
        <v>17</v>
      </c>
      <c r="N29" s="70">
        <f>VLOOKUP(L29,car19,3)</f>
        <v>3</v>
      </c>
      <c r="P29" s="52" t="s">
        <v>33</v>
      </c>
      <c r="Q29" s="22" t="s">
        <v>55</v>
      </c>
      <c r="S29" s="23"/>
      <c r="T29" s="18"/>
      <c r="U29" s="18"/>
      <c r="V29" s="18"/>
      <c r="W29" s="18"/>
      <c r="X29" s="18"/>
      <c r="Y29" s="17"/>
      <c r="Z29" s="17"/>
      <c r="AA29" s="17"/>
      <c r="AB29" s="17"/>
      <c r="AC29" s="17"/>
    </row>
    <row r="30" spans="1:29" ht="12.75">
      <c r="A30" s="38">
        <v>20</v>
      </c>
      <c r="B30" s="44">
        <v>19.4</v>
      </c>
      <c r="C30" s="44">
        <v>8.4</v>
      </c>
      <c r="D30" s="44">
        <v>6.5</v>
      </c>
      <c r="E30" s="44">
        <v>0</v>
      </c>
      <c r="F30" s="44">
        <v>12.3</v>
      </c>
      <c r="G30" s="45">
        <v>8</v>
      </c>
      <c r="H30" s="45">
        <v>260</v>
      </c>
      <c r="I30" s="45" t="str">
        <f t="shared" si="0"/>
        <v>W</v>
      </c>
      <c r="J30" s="45">
        <v>21</v>
      </c>
      <c r="K30" s="45" t="s">
        <v>30</v>
      </c>
      <c r="L30" s="69">
        <f t="shared" si="1"/>
        <v>0.5416666666666666</v>
      </c>
      <c r="M30" s="39">
        <f>VLOOKUP(L30,car20,2)</f>
        <v>19</v>
      </c>
      <c r="N30" s="70">
        <f>VLOOKUP(L30,car20,3)</f>
        <v>3</v>
      </c>
      <c r="P30" s="23"/>
      <c r="Q30" s="24"/>
      <c r="R30" s="23"/>
      <c r="S30" s="23"/>
      <c r="T30" s="18"/>
      <c r="U30" s="18"/>
      <c r="V30" s="18"/>
      <c r="W30" s="18"/>
      <c r="X30" s="18"/>
      <c r="Y30" s="17"/>
      <c r="Z30" s="17"/>
      <c r="AA30" s="17"/>
      <c r="AB30" s="17"/>
      <c r="AC30" s="17"/>
    </row>
    <row r="31" spans="1:29" ht="12.75">
      <c r="A31" s="38">
        <v>21</v>
      </c>
      <c r="B31" s="44">
        <v>14.1</v>
      </c>
      <c r="C31" s="44">
        <v>5.5</v>
      </c>
      <c r="D31" s="44">
        <v>1.3</v>
      </c>
      <c r="E31" s="44">
        <v>0.4</v>
      </c>
      <c r="F31" s="44">
        <v>5.9</v>
      </c>
      <c r="G31" s="45">
        <v>6</v>
      </c>
      <c r="H31" s="45">
        <v>20</v>
      </c>
      <c r="I31" s="45" t="str">
        <f t="shared" si="0"/>
        <v>N</v>
      </c>
      <c r="J31" s="45">
        <v>13</v>
      </c>
      <c r="K31" s="45" t="s">
        <v>30</v>
      </c>
      <c r="L31" s="69">
        <f t="shared" si="1"/>
        <v>0.5416666666666666</v>
      </c>
      <c r="M31" s="39">
        <f>VLOOKUP(L31,car21,2)</f>
        <v>10</v>
      </c>
      <c r="N31" s="70">
        <f>VLOOKUP(L31,car21,3)</f>
        <v>3</v>
      </c>
      <c r="P31" s="23"/>
      <c r="Q31" s="24"/>
      <c r="R31" s="23"/>
      <c r="S31" s="23"/>
      <c r="T31" s="18"/>
      <c r="U31" s="18"/>
      <c r="V31" s="18"/>
      <c r="W31" s="18"/>
      <c r="X31" s="18"/>
      <c r="Y31" s="17"/>
      <c r="Z31" s="17"/>
      <c r="AA31" s="17"/>
      <c r="AB31" s="17"/>
      <c r="AC31" s="17"/>
    </row>
    <row r="32" spans="1:29" ht="12.75">
      <c r="A32" s="38">
        <v>22</v>
      </c>
      <c r="B32" s="44">
        <v>15.3</v>
      </c>
      <c r="C32" s="44">
        <v>6.2</v>
      </c>
      <c r="D32" s="44">
        <v>4.4</v>
      </c>
      <c r="E32" s="44">
        <v>0</v>
      </c>
      <c r="F32" s="44">
        <v>11</v>
      </c>
      <c r="G32" s="45">
        <v>7</v>
      </c>
      <c r="H32" s="45">
        <v>90</v>
      </c>
      <c r="I32" s="45" t="str">
        <f t="shared" si="0"/>
        <v>E</v>
      </c>
      <c r="J32" s="45">
        <v>16</v>
      </c>
      <c r="K32" s="45" t="s">
        <v>30</v>
      </c>
      <c r="L32" s="69">
        <f t="shared" si="1"/>
        <v>0.5416666666666666</v>
      </c>
      <c r="M32" s="39">
        <f>VLOOKUP(L32,car22,2)</f>
        <v>4</v>
      </c>
      <c r="N32" s="70">
        <f>VLOOKUP(L32,car22,3)</f>
        <v>0</v>
      </c>
      <c r="P32" s="23"/>
      <c r="Q32" s="24"/>
      <c r="R32" s="23"/>
      <c r="S32" s="23"/>
      <c r="T32" s="18"/>
      <c r="U32" s="18"/>
      <c r="V32" s="18"/>
      <c r="W32" s="18"/>
      <c r="X32" s="18"/>
      <c r="Y32" s="17"/>
      <c r="Z32" s="17"/>
      <c r="AA32" s="17"/>
      <c r="AB32" s="17"/>
      <c r="AC32" s="17"/>
    </row>
    <row r="33" spans="1:29" ht="12.75">
      <c r="A33" s="38">
        <v>23</v>
      </c>
      <c r="B33" s="44">
        <v>17.2</v>
      </c>
      <c r="C33" s="44">
        <v>5.8</v>
      </c>
      <c r="D33" s="44">
        <v>2.1</v>
      </c>
      <c r="E33" s="44">
        <v>0</v>
      </c>
      <c r="F33" s="44">
        <v>13.8</v>
      </c>
      <c r="G33" s="45">
        <v>5</v>
      </c>
      <c r="H33" s="45">
        <v>150</v>
      </c>
      <c r="I33" s="45" t="str">
        <f t="shared" si="0"/>
        <v>SE</v>
      </c>
      <c r="J33" s="45">
        <v>13</v>
      </c>
      <c r="K33" s="45" t="s">
        <v>30</v>
      </c>
      <c r="L33" s="69">
        <f t="shared" si="1"/>
        <v>0.5416666666666666</v>
      </c>
      <c r="M33" s="39">
        <f>VLOOKUP(L33,car23,2)</f>
        <v>2</v>
      </c>
      <c r="N33" s="70">
        <f>VLOOKUP(L33,car23,3)</f>
        <v>3</v>
      </c>
      <c r="P33" s="23"/>
      <c r="Q33" s="24"/>
      <c r="R33" s="23"/>
      <c r="S33" s="23"/>
      <c r="T33" s="18"/>
      <c r="U33" s="18"/>
      <c r="V33" s="18"/>
      <c r="W33" s="18"/>
      <c r="X33" s="18"/>
      <c r="Y33" s="17"/>
      <c r="Z33" s="17"/>
      <c r="AA33" s="17"/>
      <c r="AB33" s="17"/>
      <c r="AC33" s="17"/>
    </row>
    <row r="34" spans="1:29" ht="12.75">
      <c r="A34" s="38">
        <v>24</v>
      </c>
      <c r="B34" s="44">
        <v>17.9</v>
      </c>
      <c r="C34" s="44">
        <v>6.7</v>
      </c>
      <c r="D34" s="44">
        <v>3.7</v>
      </c>
      <c r="E34" s="44">
        <v>0</v>
      </c>
      <c r="F34" s="44">
        <v>12.9</v>
      </c>
      <c r="G34" s="45">
        <v>5</v>
      </c>
      <c r="H34" s="45">
        <v>80</v>
      </c>
      <c r="I34" s="45" t="str">
        <f t="shared" si="0"/>
        <v>E</v>
      </c>
      <c r="J34" s="45">
        <v>15</v>
      </c>
      <c r="K34" s="45" t="s">
        <v>30</v>
      </c>
      <c r="L34" s="69">
        <f t="shared" si="1"/>
        <v>0.5416666666666666</v>
      </c>
      <c r="M34" s="39">
        <f>VLOOKUP(L34,car24,2)</f>
        <v>44</v>
      </c>
      <c r="N34" s="70">
        <f>VLOOKUP(L34,car24,3)</f>
        <v>59</v>
      </c>
      <c r="P34" s="23"/>
      <c r="Q34" s="24"/>
      <c r="R34" s="23"/>
      <c r="S34" s="23"/>
      <c r="T34" s="18"/>
      <c r="U34" s="18"/>
      <c r="V34" s="18"/>
      <c r="W34" s="18"/>
      <c r="X34" s="18"/>
      <c r="Y34" s="17"/>
      <c r="Z34" s="17"/>
      <c r="AA34" s="17"/>
      <c r="AB34" s="17"/>
      <c r="AC34" s="17"/>
    </row>
    <row r="35" spans="1:29" ht="12.75">
      <c r="A35" s="38">
        <v>25</v>
      </c>
      <c r="B35" s="44">
        <v>18.5</v>
      </c>
      <c r="C35" s="44">
        <v>8.8</v>
      </c>
      <c r="D35" s="44">
        <v>3.7</v>
      </c>
      <c r="E35" s="44">
        <v>0</v>
      </c>
      <c r="F35" s="44">
        <v>9.8</v>
      </c>
      <c r="G35" s="45">
        <v>5</v>
      </c>
      <c r="H35" s="45">
        <v>80</v>
      </c>
      <c r="I35" s="45" t="str">
        <f t="shared" si="0"/>
        <v>E</v>
      </c>
      <c r="J35" s="45">
        <v>12</v>
      </c>
      <c r="K35" s="45" t="s">
        <v>30</v>
      </c>
      <c r="L35" s="69">
        <f t="shared" si="1"/>
        <v>0.5416666666666666</v>
      </c>
      <c r="M35" s="39">
        <f>VLOOKUP(L35,car25,2)</f>
        <v>11</v>
      </c>
      <c r="N35" s="70">
        <f>VLOOKUP(L35,car25,3)</f>
        <v>3</v>
      </c>
      <c r="P35" s="23"/>
      <c r="Q35" s="24"/>
      <c r="R35" s="23"/>
      <c r="S35" s="23"/>
      <c r="T35" s="18"/>
      <c r="U35" s="18"/>
      <c r="V35" s="18"/>
      <c r="W35" s="18"/>
      <c r="X35" s="18"/>
      <c r="Y35" s="17"/>
      <c r="Z35" s="17"/>
      <c r="AA35" s="17"/>
      <c r="AB35" s="17"/>
      <c r="AC35" s="17"/>
    </row>
    <row r="36" spans="1:29" ht="12.75">
      <c r="A36" s="38">
        <v>26</v>
      </c>
      <c r="B36" s="44">
        <v>19.7</v>
      </c>
      <c r="C36" s="44">
        <v>10.3</v>
      </c>
      <c r="D36" s="44">
        <v>6.7</v>
      </c>
      <c r="E36" s="44">
        <v>0</v>
      </c>
      <c r="F36" s="44">
        <v>9.4</v>
      </c>
      <c r="G36" s="45">
        <v>6</v>
      </c>
      <c r="H36" s="45">
        <v>80</v>
      </c>
      <c r="I36" s="45" t="str">
        <f t="shared" si="0"/>
        <v>E</v>
      </c>
      <c r="J36" s="45">
        <v>13</v>
      </c>
      <c r="K36" s="45" t="s">
        <v>30</v>
      </c>
      <c r="L36" s="69">
        <f t="shared" si="1"/>
        <v>0.5416666666666666</v>
      </c>
      <c r="M36" s="39">
        <f>VLOOKUP(L36,car26,2)</f>
        <v>21</v>
      </c>
      <c r="N36" s="70">
        <f>VLOOKUP(L36,car26,3)</f>
        <v>8</v>
      </c>
      <c r="P36" s="23"/>
      <c r="Q36" s="24"/>
      <c r="R36" s="23"/>
      <c r="S36" s="23"/>
      <c r="T36" s="18"/>
      <c r="U36" s="18"/>
      <c r="V36" s="18"/>
      <c r="W36" s="18"/>
      <c r="X36" s="18"/>
      <c r="Y36" s="17"/>
      <c r="Z36" s="17"/>
      <c r="AA36" s="17"/>
      <c r="AB36" s="17"/>
      <c r="AC36" s="17"/>
    </row>
    <row r="37" spans="1:29" ht="12.75">
      <c r="A37" s="38">
        <v>27</v>
      </c>
      <c r="B37" s="44">
        <v>20.3</v>
      </c>
      <c r="C37" s="44">
        <v>8.4</v>
      </c>
      <c r="D37" s="44">
        <v>4.9</v>
      </c>
      <c r="E37" s="44">
        <v>0.2</v>
      </c>
      <c r="F37" s="44">
        <v>10.8</v>
      </c>
      <c r="G37" s="45">
        <v>9</v>
      </c>
      <c r="H37" s="45">
        <v>100</v>
      </c>
      <c r="I37" s="45" t="str">
        <f t="shared" si="0"/>
        <v>E</v>
      </c>
      <c r="J37" s="45">
        <v>19</v>
      </c>
      <c r="K37" s="45" t="s">
        <v>30</v>
      </c>
      <c r="L37" s="69">
        <f t="shared" si="1"/>
        <v>0.5416666666666666</v>
      </c>
      <c r="M37" s="39">
        <f>VLOOKUP(L37,car27,2)</f>
        <v>0</v>
      </c>
      <c r="N37" s="70">
        <f>VLOOKUP(L37,car27,3)</f>
        <v>5</v>
      </c>
      <c r="P37" s="23"/>
      <c r="Q37" s="24"/>
      <c r="R37" s="23"/>
      <c r="S37" s="23"/>
      <c r="T37" s="18"/>
      <c r="U37" s="18"/>
      <c r="V37" s="18"/>
      <c r="W37" s="18"/>
      <c r="X37" s="18"/>
      <c r="Y37" s="17"/>
      <c r="Z37" s="17"/>
      <c r="AA37" s="17"/>
      <c r="AB37" s="17"/>
      <c r="AC37" s="17"/>
    </row>
    <row r="38" spans="1:29" ht="12.75">
      <c r="A38" s="38">
        <v>28</v>
      </c>
      <c r="B38" s="44">
        <v>15.5</v>
      </c>
      <c r="C38" s="44">
        <v>11</v>
      </c>
      <c r="D38" s="44">
        <v>9.3</v>
      </c>
      <c r="E38" s="44">
        <v>1</v>
      </c>
      <c r="F38" s="44">
        <v>0.1</v>
      </c>
      <c r="G38" s="45">
        <v>10</v>
      </c>
      <c r="H38" s="45">
        <v>90</v>
      </c>
      <c r="I38" s="45" t="str">
        <f t="shared" si="0"/>
        <v>E</v>
      </c>
      <c r="J38" s="45">
        <v>21</v>
      </c>
      <c r="K38" s="45" t="s">
        <v>30</v>
      </c>
      <c r="L38" s="69">
        <f t="shared" si="1"/>
        <v>0.5416666666666666</v>
      </c>
      <c r="M38" s="39">
        <f>VLOOKUP(L38,car28,2)</f>
        <v>27</v>
      </c>
      <c r="N38" s="70">
        <f>VLOOKUP(L38,car28,3)</f>
        <v>11</v>
      </c>
      <c r="P38" s="23"/>
      <c r="Q38" s="24"/>
      <c r="R38" s="23"/>
      <c r="S38" s="23"/>
      <c r="T38" s="18"/>
      <c r="U38" s="18"/>
      <c r="V38" s="18"/>
      <c r="W38" s="18"/>
      <c r="X38" s="18"/>
      <c r="Y38" s="17"/>
      <c r="Z38" s="17"/>
      <c r="AA38" s="17"/>
      <c r="AB38" s="17"/>
      <c r="AC38" s="17"/>
    </row>
    <row r="39" spans="1:29" ht="12.75">
      <c r="A39" s="38">
        <v>29</v>
      </c>
      <c r="B39" s="44">
        <v>17.6</v>
      </c>
      <c r="C39" s="44">
        <v>12.6</v>
      </c>
      <c r="D39" s="44">
        <v>11.9</v>
      </c>
      <c r="E39" s="44">
        <v>0</v>
      </c>
      <c r="F39" s="44">
        <v>9.4</v>
      </c>
      <c r="G39" s="45">
        <v>7</v>
      </c>
      <c r="H39" s="45">
        <v>250</v>
      </c>
      <c r="I39" s="45" t="str">
        <f t="shared" si="0"/>
        <v>W</v>
      </c>
      <c r="J39" s="45">
        <v>17</v>
      </c>
      <c r="K39" s="45" t="s">
        <v>30</v>
      </c>
      <c r="L39" s="69">
        <f t="shared" si="1"/>
        <v>0.5416666666666666</v>
      </c>
      <c r="M39" s="39">
        <f>VLOOKUP(L39,car29,2)</f>
        <v>11</v>
      </c>
      <c r="N39" s="70">
        <f>VLOOKUP(L39,car29,3)</f>
        <v>5</v>
      </c>
      <c r="P39" s="23"/>
      <c r="Q39" s="24"/>
      <c r="R39" s="23"/>
      <c r="S39" s="23"/>
      <c r="T39" s="18"/>
      <c r="U39" s="18"/>
      <c r="V39" s="18"/>
      <c r="W39" s="18"/>
      <c r="X39" s="18"/>
      <c r="Y39" s="17"/>
      <c r="Z39" s="17"/>
      <c r="AA39" s="17"/>
      <c r="AB39" s="17"/>
      <c r="AC39" s="17"/>
    </row>
    <row r="40" spans="1:29" ht="12.75">
      <c r="A40" s="38">
        <v>30</v>
      </c>
      <c r="B40" s="44">
        <v>16.7</v>
      </c>
      <c r="C40" s="44">
        <v>9.4</v>
      </c>
      <c r="D40" s="44">
        <v>6.1</v>
      </c>
      <c r="E40" s="44">
        <v>0</v>
      </c>
      <c r="F40" s="44">
        <v>10.6</v>
      </c>
      <c r="G40" s="45">
        <v>8</v>
      </c>
      <c r="H40" s="45">
        <v>250</v>
      </c>
      <c r="I40" s="45" t="str">
        <f t="shared" si="0"/>
        <v>W</v>
      </c>
      <c r="J40" s="45">
        <v>22</v>
      </c>
      <c r="K40" s="45" t="s">
        <v>30</v>
      </c>
      <c r="L40" s="69">
        <f t="shared" si="1"/>
        <v>0.5416666666666666</v>
      </c>
      <c r="M40" s="39">
        <f>VLOOKUP(L40,car30,2)</f>
        <v>4</v>
      </c>
      <c r="N40" s="70">
        <f>VLOOKUP(L40,car30,3)</f>
        <v>0</v>
      </c>
      <c r="P40" s="23"/>
      <c r="Q40" s="24"/>
      <c r="R40" s="23"/>
      <c r="S40" s="23"/>
      <c r="T40" s="18"/>
      <c r="U40" s="18"/>
      <c r="V40" s="18"/>
      <c r="W40" s="18"/>
      <c r="X40" s="18"/>
      <c r="Y40" s="17"/>
      <c r="Z40" s="17"/>
      <c r="AA40" s="17"/>
      <c r="AB40" s="17"/>
      <c r="AC40" s="17"/>
    </row>
    <row r="41" spans="1:29" ht="12.75">
      <c r="A41" s="38">
        <v>31</v>
      </c>
      <c r="B41" s="44">
        <v>17</v>
      </c>
      <c r="C41" s="44">
        <v>6.9</v>
      </c>
      <c r="D41" s="44">
        <v>4</v>
      </c>
      <c r="E41" s="44">
        <v>11.2</v>
      </c>
      <c r="F41" s="44" t="s">
        <v>33</v>
      </c>
      <c r="G41" s="45">
        <v>8</v>
      </c>
      <c r="H41" s="45">
        <v>110</v>
      </c>
      <c r="I41" s="45" t="str">
        <f t="shared" si="0"/>
        <v>E</v>
      </c>
      <c r="J41" s="45">
        <v>20</v>
      </c>
      <c r="K41" s="45" t="s">
        <v>30</v>
      </c>
      <c r="L41" s="69">
        <f t="shared" si="1"/>
        <v>0.5416666666666666</v>
      </c>
      <c r="M41" s="39">
        <f>VLOOKUP(L41,car31,2)</f>
        <v>6</v>
      </c>
      <c r="N41" s="70">
        <f>VLOOKUP(L41,car31,3)</f>
        <v>3</v>
      </c>
      <c r="P41" s="23"/>
      <c r="Q41" s="24"/>
      <c r="R41" s="23"/>
      <c r="S41" s="23"/>
      <c r="T41" s="18"/>
      <c r="U41" s="18"/>
      <c r="V41" s="18"/>
      <c r="W41" s="18"/>
      <c r="X41" s="18"/>
      <c r="Y41" s="17"/>
      <c r="Z41" s="17"/>
      <c r="AA41" s="17"/>
      <c r="AB41" s="17"/>
      <c r="AC41" s="17"/>
    </row>
    <row r="42" spans="1:29" ht="12.75">
      <c r="A42" s="41">
        <v>1</v>
      </c>
      <c r="B42" s="63">
        <v>18.6</v>
      </c>
      <c r="C42" s="63">
        <v>12.1</v>
      </c>
      <c r="D42" s="63">
        <v>12</v>
      </c>
      <c r="E42" s="63">
        <v>0</v>
      </c>
      <c r="F42" s="63">
        <v>4.6</v>
      </c>
      <c r="G42" s="64">
        <v>9</v>
      </c>
      <c r="H42" s="64">
        <v>290</v>
      </c>
      <c r="I42" s="64" t="str">
        <f aca="true" t="shared" si="2" ref="I42:I71">VLOOKUP(H42,WIND,2)</f>
        <v>W</v>
      </c>
      <c r="J42" s="64">
        <v>23</v>
      </c>
      <c r="K42" s="64" t="s">
        <v>30</v>
      </c>
      <c r="L42" s="71">
        <f t="shared" si="1"/>
        <v>0.5416666666666666</v>
      </c>
      <c r="M42" s="60">
        <f>VLOOKUP(L42,car1j,2)</f>
        <v>23</v>
      </c>
      <c r="N42" s="72">
        <f>VLOOKUP(L42,car1j,3)</f>
        <v>3</v>
      </c>
      <c r="P42" s="23"/>
      <c r="Q42" s="24"/>
      <c r="R42" s="23"/>
      <c r="S42" s="23"/>
      <c r="T42" s="18"/>
      <c r="U42" s="18"/>
      <c r="V42" s="18"/>
      <c r="W42" s="18"/>
      <c r="X42" s="18"/>
      <c r="Y42" s="17"/>
      <c r="Z42" s="17"/>
      <c r="AA42" s="17"/>
      <c r="AB42" s="17"/>
      <c r="AC42" s="17"/>
    </row>
    <row r="43" spans="1:29" ht="12.75">
      <c r="A43" s="41">
        <v>2</v>
      </c>
      <c r="B43" s="63">
        <v>17.5</v>
      </c>
      <c r="C43" s="63">
        <v>8.8</v>
      </c>
      <c r="D43" s="63">
        <v>6.9</v>
      </c>
      <c r="E43" s="63">
        <v>0</v>
      </c>
      <c r="F43" s="63">
        <v>13.3</v>
      </c>
      <c r="G43" s="64">
        <v>9</v>
      </c>
      <c r="H43" s="64">
        <v>330</v>
      </c>
      <c r="I43" s="64" t="str">
        <f t="shared" si="2"/>
        <v>NW</v>
      </c>
      <c r="J43" s="64">
        <v>23</v>
      </c>
      <c r="K43" s="64" t="s">
        <v>30</v>
      </c>
      <c r="L43" s="71">
        <f t="shared" si="1"/>
        <v>0.5416666666666666</v>
      </c>
      <c r="M43" s="60">
        <f>VLOOKUP(L43,car2j,2)</f>
        <v>10</v>
      </c>
      <c r="N43" s="72">
        <f>VLOOKUP(L43,car2j,3)</f>
        <v>0</v>
      </c>
      <c r="P43" s="16"/>
      <c r="Q43" s="26"/>
      <c r="R43" s="16"/>
      <c r="S43" s="16"/>
      <c r="T43" s="18"/>
      <c r="U43" s="18"/>
      <c r="V43" s="18"/>
      <c r="W43" s="18"/>
      <c r="X43" s="18"/>
      <c r="Y43" s="17"/>
      <c r="Z43" s="17"/>
      <c r="AA43" s="17"/>
      <c r="AB43" s="17"/>
      <c r="AC43" s="17"/>
    </row>
    <row r="44" spans="1:29" ht="12.75">
      <c r="A44" s="41">
        <v>3</v>
      </c>
      <c r="B44" s="63">
        <v>17.7</v>
      </c>
      <c r="C44" s="63">
        <v>9.2</v>
      </c>
      <c r="D44" s="63">
        <v>6.5</v>
      </c>
      <c r="E44" s="63">
        <v>0.4</v>
      </c>
      <c r="F44" s="63">
        <v>6.4</v>
      </c>
      <c r="G44" s="64">
        <v>8</v>
      </c>
      <c r="H44" s="64">
        <v>240</v>
      </c>
      <c r="I44" s="64" t="str">
        <f t="shared" si="2"/>
        <v>SW</v>
      </c>
      <c r="J44" s="64">
        <v>20</v>
      </c>
      <c r="K44" s="64" t="s">
        <v>30</v>
      </c>
      <c r="L44" s="71">
        <f aca="true" t="shared" si="3" ref="L44:L71">$L$11</f>
        <v>0.5416666666666666</v>
      </c>
      <c r="M44" s="60">
        <f>VLOOKUP(L44,car3j,2)</f>
        <v>23</v>
      </c>
      <c r="N44" s="72">
        <f>VLOOKUP(L44,car3j,3)</f>
        <v>8</v>
      </c>
      <c r="P44" s="16"/>
      <c r="Q44" s="16"/>
      <c r="R44" s="16"/>
      <c r="S44" s="16"/>
      <c r="T44" s="18"/>
      <c r="U44" s="18"/>
      <c r="V44" s="18"/>
      <c r="W44" s="18"/>
      <c r="X44" s="18"/>
      <c r="Y44" s="17"/>
      <c r="Z44" s="17"/>
      <c r="AA44" s="17"/>
      <c r="AB44" s="17"/>
      <c r="AC44" s="17"/>
    </row>
    <row r="45" spans="1:29" ht="12.75">
      <c r="A45" s="41">
        <v>4</v>
      </c>
      <c r="B45" s="63">
        <v>18.3</v>
      </c>
      <c r="C45" s="63">
        <v>13.3</v>
      </c>
      <c r="D45" s="63">
        <v>13.8</v>
      </c>
      <c r="E45" s="63">
        <v>0</v>
      </c>
      <c r="F45" s="63">
        <v>5.9</v>
      </c>
      <c r="G45" s="64">
        <v>11</v>
      </c>
      <c r="H45" s="64">
        <v>280</v>
      </c>
      <c r="I45" s="64" t="str">
        <f t="shared" si="2"/>
        <v>W</v>
      </c>
      <c r="J45" s="64">
        <v>23</v>
      </c>
      <c r="K45" s="64" t="s">
        <v>30</v>
      </c>
      <c r="L45" s="71">
        <f t="shared" si="3"/>
        <v>0.5416666666666666</v>
      </c>
      <c r="M45" s="60">
        <f>VLOOKUP(L45,car4j,2)</f>
        <v>15</v>
      </c>
      <c r="N45" s="72">
        <f>VLOOKUP(L45,car4j,3)</f>
        <v>3</v>
      </c>
      <c r="P45" s="16"/>
      <c r="Q45" s="16"/>
      <c r="R45" s="16"/>
      <c r="S45" s="16"/>
      <c r="T45" s="18"/>
      <c r="U45" s="18"/>
      <c r="V45" s="18"/>
      <c r="W45" s="18"/>
      <c r="X45" s="18"/>
      <c r="Y45" s="17"/>
      <c r="Z45" s="17"/>
      <c r="AA45" s="17"/>
      <c r="AB45" s="17"/>
      <c r="AC45" s="17"/>
    </row>
    <row r="46" spans="1:29" ht="12.75">
      <c r="A46" s="41">
        <v>5</v>
      </c>
      <c r="B46" s="63">
        <v>20.2</v>
      </c>
      <c r="C46" s="63">
        <v>13.4</v>
      </c>
      <c r="D46" s="63">
        <v>13.1</v>
      </c>
      <c r="E46" s="63">
        <v>0</v>
      </c>
      <c r="F46" s="63">
        <v>9.7</v>
      </c>
      <c r="G46" s="64">
        <v>8</v>
      </c>
      <c r="H46" s="64">
        <v>290</v>
      </c>
      <c r="I46" s="64" t="str">
        <f t="shared" si="2"/>
        <v>W</v>
      </c>
      <c r="J46" s="64">
        <v>17</v>
      </c>
      <c r="K46" s="64" t="s">
        <v>30</v>
      </c>
      <c r="L46" s="71">
        <f t="shared" si="3"/>
        <v>0.5416666666666666</v>
      </c>
      <c r="M46" s="60">
        <f>VLOOKUP(L46,car5j,2)</f>
        <v>27</v>
      </c>
      <c r="N46" s="72">
        <f>VLOOKUP(L46,car5j,3)</f>
        <v>3</v>
      </c>
      <c r="P46" s="16"/>
      <c r="Q46" s="16"/>
      <c r="R46" s="16"/>
      <c r="S46" s="16"/>
      <c r="T46" s="18"/>
      <c r="U46" s="18"/>
      <c r="V46" s="18"/>
      <c r="W46" s="18"/>
      <c r="X46" s="18"/>
      <c r="Y46" s="17"/>
      <c r="Z46" s="25"/>
      <c r="AA46" s="25"/>
      <c r="AB46" s="25"/>
      <c r="AC46" s="25"/>
    </row>
    <row r="47" spans="1:29" ht="12.75">
      <c r="A47" s="41">
        <v>6</v>
      </c>
      <c r="B47" s="63">
        <v>23.2</v>
      </c>
      <c r="C47" s="63">
        <v>12.9</v>
      </c>
      <c r="D47" s="63">
        <v>10.6</v>
      </c>
      <c r="E47" s="63">
        <v>0.2</v>
      </c>
      <c r="F47" s="63">
        <v>5.3</v>
      </c>
      <c r="G47" s="64">
        <v>4</v>
      </c>
      <c r="H47" s="64">
        <v>190</v>
      </c>
      <c r="I47" s="64" t="str">
        <f t="shared" si="2"/>
        <v>S</v>
      </c>
      <c r="J47" s="64">
        <v>10</v>
      </c>
      <c r="K47" s="64" t="s">
        <v>30</v>
      </c>
      <c r="L47" s="71">
        <f t="shared" si="3"/>
        <v>0.5416666666666666</v>
      </c>
      <c r="M47" s="60">
        <f>VLOOKUP(L47,car6j,2)</f>
        <v>10</v>
      </c>
      <c r="N47" s="72">
        <f>VLOOKUP(L47,car6j,3)</f>
        <v>3</v>
      </c>
      <c r="P47" s="11"/>
      <c r="Q47" s="11"/>
      <c r="R47" s="11"/>
      <c r="S47" s="11"/>
      <c r="T47" s="6"/>
      <c r="U47" s="6"/>
      <c r="V47" s="6"/>
      <c r="W47" s="6"/>
      <c r="X47" s="6"/>
      <c r="Y47" s="5"/>
      <c r="Z47" s="5"/>
      <c r="AA47" s="5"/>
      <c r="AB47" s="5"/>
      <c r="AC47" s="5"/>
    </row>
    <row r="48" spans="1:29" ht="12.75">
      <c r="A48" s="41">
        <v>7</v>
      </c>
      <c r="B48" s="63">
        <v>26</v>
      </c>
      <c r="C48" s="63">
        <v>11.9</v>
      </c>
      <c r="D48" s="63">
        <v>11.5</v>
      </c>
      <c r="E48" s="63">
        <v>0</v>
      </c>
      <c r="F48" s="63">
        <v>13</v>
      </c>
      <c r="G48" s="64">
        <v>6</v>
      </c>
      <c r="H48" s="64">
        <v>110</v>
      </c>
      <c r="I48" s="64" t="str">
        <f t="shared" si="2"/>
        <v>E</v>
      </c>
      <c r="J48" s="64">
        <v>13</v>
      </c>
      <c r="K48" s="64" t="s">
        <v>30</v>
      </c>
      <c r="L48" s="71">
        <f t="shared" si="3"/>
        <v>0.5416666666666666</v>
      </c>
      <c r="M48" s="60">
        <f>VLOOKUP(L48,car7j,2)</f>
        <v>25</v>
      </c>
      <c r="N48" s="72">
        <f>VLOOKUP(L48,car7j,3)</f>
        <v>8</v>
      </c>
      <c r="P48" s="11"/>
      <c r="Q48" s="11"/>
      <c r="R48" s="11"/>
      <c r="S48" s="11"/>
      <c r="T48" s="6"/>
      <c r="U48" s="6"/>
      <c r="V48" s="6"/>
      <c r="W48" s="6"/>
      <c r="X48" s="6"/>
      <c r="Y48" s="5"/>
      <c r="Z48" s="5"/>
      <c r="AA48" s="5"/>
      <c r="AB48" s="5"/>
      <c r="AC48" s="5"/>
    </row>
    <row r="49" spans="1:20" ht="12.75">
      <c r="A49" s="41">
        <v>8</v>
      </c>
      <c r="B49" s="63">
        <v>19.9</v>
      </c>
      <c r="C49" s="63">
        <v>14.5</v>
      </c>
      <c r="D49" s="63">
        <v>11.3</v>
      </c>
      <c r="E49" s="63">
        <v>0.2</v>
      </c>
      <c r="F49" s="63">
        <v>6.1</v>
      </c>
      <c r="G49" s="64">
        <v>8</v>
      </c>
      <c r="H49" s="64">
        <v>150</v>
      </c>
      <c r="I49" s="64" t="str">
        <f t="shared" si="2"/>
        <v>SE</v>
      </c>
      <c r="J49" s="64">
        <v>23</v>
      </c>
      <c r="K49" s="64" t="s">
        <v>30</v>
      </c>
      <c r="L49" s="71">
        <f t="shared" si="3"/>
        <v>0.5416666666666666</v>
      </c>
      <c r="M49" s="60">
        <f>VLOOKUP(L49,car8j,2)</f>
        <v>25</v>
      </c>
      <c r="N49" s="72">
        <f>VLOOKUP(L49,car8j,3)</f>
        <v>3</v>
      </c>
      <c r="P49" s="52" t="s">
        <v>32</v>
      </c>
      <c r="T49" s="22"/>
    </row>
    <row r="50" spans="1:20" ht="12.75">
      <c r="A50" s="41">
        <v>9</v>
      </c>
      <c r="B50" s="63">
        <v>20.3</v>
      </c>
      <c r="C50" s="63">
        <v>14.4</v>
      </c>
      <c r="D50" s="63">
        <v>12.7</v>
      </c>
      <c r="E50" s="63">
        <v>0.4</v>
      </c>
      <c r="F50" s="63">
        <v>2.3</v>
      </c>
      <c r="G50" s="64">
        <v>5</v>
      </c>
      <c r="H50" s="64">
        <v>240</v>
      </c>
      <c r="I50" s="64" t="str">
        <f t="shared" si="2"/>
        <v>SW</v>
      </c>
      <c r="J50" s="64">
        <v>16</v>
      </c>
      <c r="K50" s="64" t="s">
        <v>30</v>
      </c>
      <c r="L50" s="71">
        <f t="shared" si="3"/>
        <v>0.5416666666666666</v>
      </c>
      <c r="M50" s="60">
        <f>VLOOKUP(L50,car9j,2)</f>
        <v>31</v>
      </c>
      <c r="N50" s="72">
        <f>VLOOKUP(L50,car9j,3)</f>
        <v>35</v>
      </c>
      <c r="P50" s="52"/>
      <c r="S50" s="58"/>
      <c r="T50" s="22"/>
    </row>
    <row r="51" spans="1:20" ht="12.75">
      <c r="A51" s="41">
        <v>10</v>
      </c>
      <c r="B51" s="63">
        <v>18.9</v>
      </c>
      <c r="C51" s="63">
        <v>14.5</v>
      </c>
      <c r="D51" s="63">
        <v>14.1</v>
      </c>
      <c r="E51" s="63">
        <v>0</v>
      </c>
      <c r="F51" s="63">
        <v>9.6</v>
      </c>
      <c r="G51" s="64">
        <v>12</v>
      </c>
      <c r="H51" s="64">
        <v>260</v>
      </c>
      <c r="I51" s="64" t="str">
        <f t="shared" si="2"/>
        <v>W</v>
      </c>
      <c r="J51" s="64">
        <v>28</v>
      </c>
      <c r="K51" s="64" t="s">
        <v>30</v>
      </c>
      <c r="L51" s="71">
        <f t="shared" si="3"/>
        <v>0.5416666666666666</v>
      </c>
      <c r="M51" s="60">
        <f>VLOOKUP(L51,car10j,2)</f>
        <v>17</v>
      </c>
      <c r="N51" s="72">
        <f>VLOOKUP(L51,car11j,3)</f>
        <v>11</v>
      </c>
      <c r="P51" s="52"/>
      <c r="T51" s="22"/>
    </row>
    <row r="52" spans="1:20" ht="12.75">
      <c r="A52" s="41">
        <v>11</v>
      </c>
      <c r="B52" s="63">
        <v>17.2</v>
      </c>
      <c r="C52" s="63">
        <v>13.3</v>
      </c>
      <c r="D52" s="63">
        <v>11.5</v>
      </c>
      <c r="E52" s="63">
        <v>0</v>
      </c>
      <c r="F52" s="63">
        <v>13.1</v>
      </c>
      <c r="G52" s="64">
        <v>13</v>
      </c>
      <c r="H52" s="64">
        <v>280</v>
      </c>
      <c r="I52" s="64" t="str">
        <f t="shared" si="2"/>
        <v>W</v>
      </c>
      <c r="J52" s="64">
        <v>27</v>
      </c>
      <c r="K52" s="64" t="s">
        <v>30</v>
      </c>
      <c r="L52" s="71">
        <f t="shared" si="3"/>
        <v>0.5416666666666666</v>
      </c>
      <c r="M52" s="60">
        <f>VLOOKUP(L52,car11j,2)</f>
        <v>19</v>
      </c>
      <c r="N52" s="72">
        <f>VLOOKUP(L52,car11j,3)</f>
        <v>11</v>
      </c>
      <c r="P52" s="52"/>
      <c r="T52" s="22"/>
    </row>
    <row r="53" spans="1:20" ht="12.75">
      <c r="A53" s="41">
        <v>12</v>
      </c>
      <c r="B53" s="63">
        <v>19.5</v>
      </c>
      <c r="C53" s="63">
        <v>10.7</v>
      </c>
      <c r="D53" s="63">
        <v>8.7</v>
      </c>
      <c r="E53" s="63">
        <v>0</v>
      </c>
      <c r="F53" s="63">
        <v>10.2</v>
      </c>
      <c r="G53" s="64">
        <v>9</v>
      </c>
      <c r="H53" s="64">
        <v>300</v>
      </c>
      <c r="I53" s="64" t="str">
        <f t="shared" si="2"/>
        <v>NW</v>
      </c>
      <c r="J53" s="64">
        <v>22</v>
      </c>
      <c r="K53" s="64" t="s">
        <v>30</v>
      </c>
      <c r="L53" s="71">
        <f t="shared" si="3"/>
        <v>0.5416666666666666</v>
      </c>
      <c r="M53" s="60">
        <f>VLOOKUP(L53,car12j,2)</f>
        <v>10</v>
      </c>
      <c r="N53" s="72">
        <f>VLOOKUP(L53,car12j,3)</f>
        <v>5</v>
      </c>
      <c r="P53" s="52"/>
      <c r="T53" s="22"/>
    </row>
    <row r="54" spans="1:20" ht="12.75">
      <c r="A54" s="41">
        <v>13</v>
      </c>
      <c r="B54" s="63">
        <v>20.4</v>
      </c>
      <c r="C54" s="63">
        <v>8.3</v>
      </c>
      <c r="D54" s="63">
        <v>6.2</v>
      </c>
      <c r="E54" s="63">
        <v>0</v>
      </c>
      <c r="F54" s="63">
        <v>13.8</v>
      </c>
      <c r="G54" s="64">
        <v>8</v>
      </c>
      <c r="H54" s="64">
        <v>250</v>
      </c>
      <c r="I54" s="64" t="str">
        <f t="shared" si="2"/>
        <v>W</v>
      </c>
      <c r="J54" s="64">
        <v>21</v>
      </c>
      <c r="K54" s="64" t="s">
        <v>30</v>
      </c>
      <c r="L54" s="71">
        <f t="shared" si="3"/>
        <v>0.5416666666666666</v>
      </c>
      <c r="M54" s="60">
        <f>VLOOKUP(L54,car13j,2)</f>
        <v>13</v>
      </c>
      <c r="N54" s="72">
        <f>VLOOKUP(L54,car13j,3)</f>
        <v>3</v>
      </c>
      <c r="P54" s="52"/>
      <c r="T54" s="22"/>
    </row>
    <row r="55" spans="1:20" ht="12.75">
      <c r="A55" s="41">
        <v>14</v>
      </c>
      <c r="B55" s="63">
        <v>21.3</v>
      </c>
      <c r="C55" s="63">
        <v>13.2</v>
      </c>
      <c r="D55" s="63">
        <v>12.9</v>
      </c>
      <c r="E55" s="63">
        <v>0</v>
      </c>
      <c r="F55" s="63">
        <v>7.3</v>
      </c>
      <c r="G55" s="64">
        <v>10</v>
      </c>
      <c r="H55" s="64">
        <v>270</v>
      </c>
      <c r="I55" s="64" t="str">
        <f t="shared" si="2"/>
        <v>W</v>
      </c>
      <c r="J55" s="64">
        <v>23</v>
      </c>
      <c r="K55" s="64" t="s">
        <v>30</v>
      </c>
      <c r="L55" s="71">
        <f t="shared" si="3"/>
        <v>0.5416666666666666</v>
      </c>
      <c r="M55" s="60">
        <f>VLOOKUP(L55,car14j,2)</f>
        <v>10</v>
      </c>
      <c r="N55" s="72">
        <f>VLOOKUP(L55,car14j,3)</f>
        <v>3</v>
      </c>
      <c r="P55" s="52"/>
      <c r="T55" s="22"/>
    </row>
    <row r="56" spans="1:20" ht="12.75">
      <c r="A56" s="41">
        <v>15</v>
      </c>
      <c r="B56" s="63">
        <v>25</v>
      </c>
      <c r="C56" s="63">
        <v>13.5</v>
      </c>
      <c r="D56" s="63">
        <v>10.7</v>
      </c>
      <c r="E56" s="63">
        <v>0</v>
      </c>
      <c r="F56" s="63">
        <v>14.8</v>
      </c>
      <c r="G56" s="64">
        <v>10</v>
      </c>
      <c r="H56" s="64">
        <v>270</v>
      </c>
      <c r="I56" s="64" t="str">
        <f t="shared" si="2"/>
        <v>W</v>
      </c>
      <c r="J56" s="64">
        <v>24</v>
      </c>
      <c r="K56" s="64" t="s">
        <v>30</v>
      </c>
      <c r="L56" s="71">
        <f t="shared" si="3"/>
        <v>0.5416666666666666</v>
      </c>
      <c r="M56" s="60">
        <f>VLOOKUP(L56,car15j,2)</f>
        <v>4</v>
      </c>
      <c r="N56" s="72">
        <f>VLOOKUP(L56,car15j,3)</f>
        <v>0</v>
      </c>
      <c r="P56" s="52"/>
      <c r="T56" s="22"/>
    </row>
    <row r="57" spans="1:20" ht="12.75">
      <c r="A57" s="41">
        <v>16</v>
      </c>
      <c r="B57" s="63">
        <v>21.9</v>
      </c>
      <c r="C57" s="63">
        <v>14.5</v>
      </c>
      <c r="D57" s="63">
        <v>11.2</v>
      </c>
      <c r="E57" s="63">
        <v>0</v>
      </c>
      <c r="F57" s="63">
        <v>12</v>
      </c>
      <c r="G57" s="64">
        <v>11</v>
      </c>
      <c r="H57" s="64">
        <v>250</v>
      </c>
      <c r="I57" s="64" t="str">
        <f t="shared" si="2"/>
        <v>W</v>
      </c>
      <c r="J57" s="64">
        <v>28</v>
      </c>
      <c r="K57" s="64" t="s">
        <v>30</v>
      </c>
      <c r="L57" s="71">
        <f t="shared" si="3"/>
        <v>0.5416666666666666</v>
      </c>
      <c r="M57" s="60">
        <f>VLOOKUP(L57,car16j,2)</f>
        <v>15</v>
      </c>
      <c r="N57" s="72">
        <f>VLOOKUP(L57,car16j,3)</f>
        <v>3</v>
      </c>
      <c r="P57" s="52"/>
      <c r="T57" s="22"/>
    </row>
    <row r="58" spans="1:20" ht="12.75">
      <c r="A58" s="41">
        <v>17</v>
      </c>
      <c r="B58" s="63">
        <v>16.9</v>
      </c>
      <c r="C58" s="63">
        <v>14.3</v>
      </c>
      <c r="D58" s="63">
        <v>13.9</v>
      </c>
      <c r="E58" s="63">
        <v>0</v>
      </c>
      <c r="F58" s="63">
        <v>1.4</v>
      </c>
      <c r="G58" s="64">
        <v>14</v>
      </c>
      <c r="H58" s="64">
        <v>280</v>
      </c>
      <c r="I58" s="64" t="str">
        <f t="shared" si="2"/>
        <v>W</v>
      </c>
      <c r="J58" s="64">
        <v>30</v>
      </c>
      <c r="K58" s="64" t="s">
        <v>30</v>
      </c>
      <c r="L58" s="71">
        <f t="shared" si="3"/>
        <v>0.5416666666666666</v>
      </c>
      <c r="M58" s="60">
        <f>VLOOKUP(L58,car17j,2)</f>
        <v>15</v>
      </c>
      <c r="N58" s="72">
        <f>VLOOKUP(L58,car17j,3)</f>
        <v>3</v>
      </c>
      <c r="P58" s="52"/>
      <c r="T58" s="22"/>
    </row>
    <row r="59" spans="1:20" ht="12.75">
      <c r="A59" s="41">
        <v>18</v>
      </c>
      <c r="B59" s="63">
        <v>17.2</v>
      </c>
      <c r="C59" s="63">
        <v>11.6</v>
      </c>
      <c r="D59" s="63">
        <v>9.8</v>
      </c>
      <c r="E59" s="63">
        <v>5</v>
      </c>
      <c r="F59" s="63">
        <v>4.2</v>
      </c>
      <c r="G59" s="64">
        <v>10</v>
      </c>
      <c r="H59" s="64">
        <v>310</v>
      </c>
      <c r="I59" s="64" t="str">
        <f t="shared" si="2"/>
        <v>NW</v>
      </c>
      <c r="J59" s="64">
        <v>27</v>
      </c>
      <c r="K59" s="64" t="s">
        <v>30</v>
      </c>
      <c r="L59" s="71">
        <f t="shared" si="3"/>
        <v>0.5416666666666666</v>
      </c>
      <c r="M59" s="60">
        <f>VLOOKUP(L59,car18j,2)</f>
        <v>11</v>
      </c>
      <c r="N59" s="72">
        <f>VLOOKUP(L59,car18j,3)</f>
        <v>3</v>
      </c>
      <c r="P59" s="52"/>
      <c r="T59" s="22"/>
    </row>
    <row r="60" spans="1:20" ht="12.75">
      <c r="A60" s="41">
        <v>19</v>
      </c>
      <c r="B60" s="63">
        <v>15.9</v>
      </c>
      <c r="C60" s="63">
        <v>7</v>
      </c>
      <c r="D60" s="63">
        <v>1</v>
      </c>
      <c r="E60" s="63">
        <v>0.6</v>
      </c>
      <c r="F60" s="63">
        <v>9.6</v>
      </c>
      <c r="G60" s="64">
        <v>7</v>
      </c>
      <c r="H60" s="64">
        <v>320</v>
      </c>
      <c r="I60" s="64" t="str">
        <f t="shared" si="2"/>
        <v>NW</v>
      </c>
      <c r="J60" s="64">
        <v>24</v>
      </c>
      <c r="K60" s="64" t="s">
        <v>30</v>
      </c>
      <c r="L60" s="71">
        <f t="shared" si="3"/>
        <v>0.5416666666666666</v>
      </c>
      <c r="M60" s="60">
        <f>VLOOKUP(L60,car19j,2)</f>
        <v>11</v>
      </c>
      <c r="N60" s="72">
        <f>VLOOKUP(L60,car19j,3)</f>
        <v>3</v>
      </c>
      <c r="P60" s="52"/>
      <c r="T60" s="22"/>
    </row>
    <row r="61" spans="1:20" ht="12.75">
      <c r="A61" s="41">
        <v>20</v>
      </c>
      <c r="B61" s="63">
        <v>15.1</v>
      </c>
      <c r="C61" s="63">
        <v>7.3</v>
      </c>
      <c r="D61" s="63">
        <v>3.6</v>
      </c>
      <c r="E61" s="63">
        <v>4.4</v>
      </c>
      <c r="F61" s="63">
        <v>7.4</v>
      </c>
      <c r="G61" s="64">
        <v>9</v>
      </c>
      <c r="H61" s="64">
        <v>290</v>
      </c>
      <c r="I61" s="64" t="str">
        <f t="shared" si="2"/>
        <v>W</v>
      </c>
      <c r="J61" s="64">
        <v>24</v>
      </c>
      <c r="K61" s="64" t="s">
        <v>30</v>
      </c>
      <c r="L61" s="71">
        <f t="shared" si="3"/>
        <v>0.5416666666666666</v>
      </c>
      <c r="M61" s="60">
        <f>VLOOKUP(L61,car20j,2)</f>
        <v>13</v>
      </c>
      <c r="N61" s="72">
        <f>VLOOKUP(L61,car20j,3)</f>
        <v>3</v>
      </c>
      <c r="P61" s="52"/>
      <c r="T61" s="22"/>
    </row>
    <row r="62" spans="1:20" ht="12.75">
      <c r="A62" s="41">
        <v>21</v>
      </c>
      <c r="B62" s="63">
        <v>17.1</v>
      </c>
      <c r="C62" s="63">
        <v>8.6</v>
      </c>
      <c r="D62" s="63">
        <v>5.4</v>
      </c>
      <c r="E62" s="63">
        <v>0</v>
      </c>
      <c r="F62" s="63">
        <v>8.6</v>
      </c>
      <c r="G62" s="64">
        <v>5</v>
      </c>
      <c r="H62" s="64">
        <v>280</v>
      </c>
      <c r="I62" s="64" t="str">
        <f t="shared" si="2"/>
        <v>W</v>
      </c>
      <c r="J62" s="64">
        <v>17</v>
      </c>
      <c r="K62" s="64" t="s">
        <v>30</v>
      </c>
      <c r="L62" s="71">
        <f t="shared" si="3"/>
        <v>0.5416666666666666</v>
      </c>
      <c r="M62" s="60">
        <f>VLOOKUP(L62,car21j,2)</f>
        <v>38</v>
      </c>
      <c r="N62" s="72">
        <f>VLOOKUP(L62,car21j,3)</f>
        <v>48</v>
      </c>
      <c r="P62" s="52"/>
      <c r="T62" s="22"/>
    </row>
    <row r="63" spans="1:20" ht="12.75">
      <c r="A63" s="41">
        <v>22</v>
      </c>
      <c r="B63" s="63">
        <v>17.4</v>
      </c>
      <c r="C63" s="63">
        <v>7.9</v>
      </c>
      <c r="D63" s="63">
        <v>3.8</v>
      </c>
      <c r="E63" s="63">
        <v>21.4</v>
      </c>
      <c r="F63" s="63">
        <v>3</v>
      </c>
      <c r="G63" s="64" t="s">
        <v>33</v>
      </c>
      <c r="H63" s="64">
        <v>120</v>
      </c>
      <c r="I63" s="64" t="str">
        <f t="shared" si="2"/>
        <v>SE</v>
      </c>
      <c r="J63" s="64">
        <v>28</v>
      </c>
      <c r="K63" s="64" t="s">
        <v>30</v>
      </c>
      <c r="L63" s="71">
        <f t="shared" si="3"/>
        <v>0.5416666666666666</v>
      </c>
      <c r="M63" s="60">
        <f>VLOOKUP(L63,car22j,2)</f>
        <v>15</v>
      </c>
      <c r="N63" s="72">
        <f>VLOOKUP(L63,car22j,3)</f>
        <v>3</v>
      </c>
      <c r="P63" s="52"/>
      <c r="T63" s="22"/>
    </row>
    <row r="64" spans="1:20" ht="12.75">
      <c r="A64" s="41">
        <v>23</v>
      </c>
      <c r="B64" s="63">
        <v>15.2</v>
      </c>
      <c r="C64" s="63">
        <v>13.2</v>
      </c>
      <c r="D64" s="63">
        <v>11.9</v>
      </c>
      <c r="E64" s="63">
        <v>0.6</v>
      </c>
      <c r="F64" s="63">
        <v>0.3</v>
      </c>
      <c r="G64" s="64">
        <v>23</v>
      </c>
      <c r="H64" s="64">
        <v>270</v>
      </c>
      <c r="I64" s="64" t="str">
        <f t="shared" si="2"/>
        <v>W</v>
      </c>
      <c r="J64" s="64">
        <v>51</v>
      </c>
      <c r="K64" s="64" t="s">
        <v>30</v>
      </c>
      <c r="L64" s="71">
        <f t="shared" si="3"/>
        <v>0.5416666666666666</v>
      </c>
      <c r="M64" s="60">
        <f>VLOOKUP(L64,car23j,2)</f>
        <v>0</v>
      </c>
      <c r="N64" s="72">
        <f>VLOOKUP(L64,car23j,3)</f>
        <v>0</v>
      </c>
      <c r="P64" s="52"/>
      <c r="T64" s="22"/>
    </row>
    <row r="65" spans="1:20" ht="12.75">
      <c r="A65" s="41">
        <v>24</v>
      </c>
      <c r="B65" s="63">
        <v>15.7</v>
      </c>
      <c r="C65" s="63">
        <v>12</v>
      </c>
      <c r="D65" s="63">
        <v>10.9</v>
      </c>
      <c r="E65" s="63">
        <v>0</v>
      </c>
      <c r="F65" s="63">
        <v>12.6</v>
      </c>
      <c r="G65" s="64">
        <v>17</v>
      </c>
      <c r="H65" s="64">
        <v>290</v>
      </c>
      <c r="I65" s="64" t="str">
        <f t="shared" si="2"/>
        <v>W</v>
      </c>
      <c r="J65" s="64">
        <v>34</v>
      </c>
      <c r="K65" s="64" t="s">
        <v>30</v>
      </c>
      <c r="L65" s="71">
        <f t="shared" si="3"/>
        <v>0.5416666666666666</v>
      </c>
      <c r="M65" s="60">
        <f>VLOOKUP(L65,car24j,2)</f>
        <v>17</v>
      </c>
      <c r="N65" s="72">
        <f>VLOOKUP(L65,car24j,3)</f>
        <v>3</v>
      </c>
      <c r="P65" s="52"/>
      <c r="T65" s="22"/>
    </row>
    <row r="66" spans="1:20" ht="12.75">
      <c r="A66" s="41">
        <v>25</v>
      </c>
      <c r="B66" s="63">
        <v>18.6</v>
      </c>
      <c r="C66" s="63">
        <v>10.2</v>
      </c>
      <c r="D66" s="63">
        <v>6.8</v>
      </c>
      <c r="E66" s="63">
        <v>7.8</v>
      </c>
      <c r="F66" s="63">
        <v>13.7</v>
      </c>
      <c r="G66" s="64">
        <v>7</v>
      </c>
      <c r="H66" s="64">
        <v>270</v>
      </c>
      <c r="I66" s="64" t="str">
        <f t="shared" si="2"/>
        <v>W</v>
      </c>
      <c r="J66" s="64">
        <v>18</v>
      </c>
      <c r="K66" s="64" t="s">
        <v>30</v>
      </c>
      <c r="L66" s="71">
        <f t="shared" si="3"/>
        <v>0.5416666666666666</v>
      </c>
      <c r="M66" s="60">
        <f>VLOOKUP(L66,car25j,2)</f>
        <v>15</v>
      </c>
      <c r="N66" s="72">
        <f>VLOOKUP(L66,car25j,3)</f>
        <v>3</v>
      </c>
      <c r="P66" s="52"/>
      <c r="T66" s="22"/>
    </row>
    <row r="67" spans="1:20" ht="12.75">
      <c r="A67" s="41">
        <v>26</v>
      </c>
      <c r="B67" s="63">
        <v>17.2</v>
      </c>
      <c r="C67" s="63">
        <v>12.2</v>
      </c>
      <c r="D67" s="63">
        <v>8.7</v>
      </c>
      <c r="E67" s="63">
        <v>10.4</v>
      </c>
      <c r="F67" s="63">
        <v>0</v>
      </c>
      <c r="G67" s="64">
        <v>9</v>
      </c>
      <c r="H67" s="64">
        <v>120</v>
      </c>
      <c r="I67" s="64" t="str">
        <f t="shared" si="2"/>
        <v>SE</v>
      </c>
      <c r="J67" s="64">
        <v>23</v>
      </c>
      <c r="K67" s="64" t="s">
        <v>30</v>
      </c>
      <c r="L67" s="71">
        <f t="shared" si="3"/>
        <v>0.5416666666666666</v>
      </c>
      <c r="M67" s="60">
        <f>VLOOKUP(L67,car26j,2)</f>
        <v>34</v>
      </c>
      <c r="N67" s="72">
        <f>VLOOKUP(L67,car26j,3)</f>
        <v>3</v>
      </c>
      <c r="P67" s="52"/>
      <c r="T67" s="22"/>
    </row>
    <row r="68" spans="1:20" ht="12.75">
      <c r="A68" s="41">
        <v>27</v>
      </c>
      <c r="B68" s="63">
        <v>18</v>
      </c>
      <c r="C68" s="63">
        <v>13.4</v>
      </c>
      <c r="D68" s="63">
        <v>13.4</v>
      </c>
      <c r="E68" s="63">
        <v>2</v>
      </c>
      <c r="F68" s="63">
        <v>5</v>
      </c>
      <c r="G68" s="64">
        <v>12</v>
      </c>
      <c r="H68" s="64">
        <v>260</v>
      </c>
      <c r="I68" s="64" t="str">
        <f t="shared" si="2"/>
        <v>W</v>
      </c>
      <c r="J68" s="64">
        <v>27</v>
      </c>
      <c r="K68" s="64" t="s">
        <v>30</v>
      </c>
      <c r="L68" s="71">
        <f t="shared" si="3"/>
        <v>0.5416666666666666</v>
      </c>
      <c r="M68" s="60">
        <f>VLOOKUP(L68,car27j,2)</f>
        <v>11</v>
      </c>
      <c r="N68" s="72">
        <f>VLOOKUP(L68,car27j,3)</f>
        <v>3</v>
      </c>
      <c r="P68" s="52"/>
      <c r="T68" s="22"/>
    </row>
    <row r="69" spans="1:20" ht="12.75">
      <c r="A69" s="41">
        <v>28</v>
      </c>
      <c r="B69" s="63">
        <v>17.4</v>
      </c>
      <c r="C69" s="63">
        <v>12.7</v>
      </c>
      <c r="D69" s="63">
        <v>10.4</v>
      </c>
      <c r="E69" s="63">
        <v>0.4</v>
      </c>
      <c r="F69" s="63">
        <v>6.4</v>
      </c>
      <c r="G69" s="64">
        <v>12</v>
      </c>
      <c r="H69" s="64">
        <v>260</v>
      </c>
      <c r="I69" s="64" t="str">
        <f t="shared" si="2"/>
        <v>W</v>
      </c>
      <c r="J69" s="64">
        <v>24</v>
      </c>
      <c r="K69" s="64" t="s">
        <v>30</v>
      </c>
      <c r="L69" s="71">
        <f t="shared" si="3"/>
        <v>0.5416666666666666</v>
      </c>
      <c r="M69" s="60">
        <f>VLOOKUP(L69,car28j,2)</f>
        <v>19</v>
      </c>
      <c r="N69" s="72">
        <f>VLOOKUP(L69,car28j,3)</f>
        <v>3</v>
      </c>
      <c r="P69" s="52"/>
      <c r="T69" s="22"/>
    </row>
    <row r="70" spans="1:20" ht="12.75">
      <c r="A70" s="41">
        <v>29</v>
      </c>
      <c r="B70" s="63">
        <v>18.7</v>
      </c>
      <c r="C70" s="63">
        <v>14.3</v>
      </c>
      <c r="D70" s="63">
        <v>13.1</v>
      </c>
      <c r="E70" s="63">
        <v>2</v>
      </c>
      <c r="F70" s="63">
        <v>1.7</v>
      </c>
      <c r="G70" s="64" t="s">
        <v>33</v>
      </c>
      <c r="H70" s="64">
        <v>260</v>
      </c>
      <c r="I70" s="64" t="str">
        <f t="shared" si="2"/>
        <v>W</v>
      </c>
      <c r="J70" s="64">
        <v>25</v>
      </c>
      <c r="K70" s="64" t="s">
        <v>30</v>
      </c>
      <c r="L70" s="71">
        <f t="shared" si="3"/>
        <v>0.5416666666666666</v>
      </c>
      <c r="M70" s="60">
        <f>VLOOKUP(L70,car29j,2)</f>
        <v>17</v>
      </c>
      <c r="N70" s="72">
        <f>VLOOKUP(L70,car29j,3)</f>
        <v>0</v>
      </c>
      <c r="P70" s="52"/>
      <c r="T70" s="22"/>
    </row>
    <row r="71" spans="1:20" ht="13.5" thickBot="1">
      <c r="A71" s="42">
        <v>30</v>
      </c>
      <c r="B71" s="67">
        <v>17.3</v>
      </c>
      <c r="C71" s="67">
        <v>12.9</v>
      </c>
      <c r="D71" s="67">
        <v>11.7</v>
      </c>
      <c r="E71" s="67">
        <v>0.2</v>
      </c>
      <c r="F71" s="67">
        <v>4.2</v>
      </c>
      <c r="G71" s="68">
        <v>12</v>
      </c>
      <c r="H71" s="68">
        <v>210</v>
      </c>
      <c r="I71" s="68" t="str">
        <f t="shared" si="2"/>
        <v>SW</v>
      </c>
      <c r="J71" s="68">
        <v>28</v>
      </c>
      <c r="K71" s="68" t="s">
        <v>30</v>
      </c>
      <c r="L71" s="73">
        <f t="shared" si="3"/>
        <v>0.5416666666666666</v>
      </c>
      <c r="M71" s="62">
        <f>VLOOKUP(L71,car30j,2)</f>
        <v>15</v>
      </c>
      <c r="N71" s="74">
        <f>VLOOKUP(L71,car30j,3)</f>
        <v>3</v>
      </c>
      <c r="P71" s="52"/>
      <c r="T71" s="22"/>
    </row>
    <row r="72" spans="1:15" ht="13.5" thickTop="1">
      <c r="A72" s="11"/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</row>
    <row r="73" spans="1:15" ht="12.75">
      <c r="A73" s="93" t="s">
        <v>56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</sheetData>
  <mergeCells count="1">
    <mergeCell ref="A73:O73"/>
  </mergeCells>
  <printOptions/>
  <pageMargins left="0.75" right="0.75" top="1" bottom="1" header="0.5" footer="0.5"/>
  <pageSetup orientation="portrait" paperSize="9" r:id="rId1"/>
  <headerFooter alignWithMargins="0">
    <oddHeader>&amp;LBEYOND FAIR TESTING&amp;C&amp;"Arial,Bold"&amp;12AIR POLLUTION&amp;RENQUIRY 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78"/>
  <sheetViews>
    <sheetView workbookViewId="0" topLeftCell="B1">
      <selection activeCell="M1" sqref="M1"/>
    </sheetView>
  </sheetViews>
  <sheetFormatPr defaultColWidth="9.140625" defaultRowHeight="12.75"/>
  <cols>
    <col min="1" max="1" width="7.8515625" style="0" customWidth="1"/>
    <col min="7" max="7" width="8.140625" style="0" customWidth="1"/>
    <col min="9" max="9" width="11.57421875" style="0" customWidth="1"/>
    <col min="10" max="10" width="10.28125" style="0" customWidth="1"/>
    <col min="11" max="12" width="10.57421875" style="0" customWidth="1"/>
    <col min="13" max="13" width="12.421875" style="0" customWidth="1"/>
    <col min="14" max="14" width="11.140625" style="0" customWidth="1"/>
    <col min="17" max="17" width="16.140625" style="2" customWidth="1"/>
    <col min="18" max="18" width="11.00390625" style="2" customWidth="1"/>
    <col min="19" max="19" width="11.421875" style="2" customWidth="1"/>
    <col min="20" max="20" width="10.421875" style="2" customWidth="1"/>
    <col min="21" max="21" width="10.57421875" style="0" customWidth="1"/>
    <col min="23" max="23" width="9.57421875" style="0" customWidth="1"/>
    <col min="25" max="25" width="11.28125" style="0" customWidth="1"/>
    <col min="26" max="26" width="12.7109375" style="0" customWidth="1"/>
    <col min="27" max="27" width="16.57421875" style="0" customWidth="1"/>
    <col min="29" max="30" width="10.140625" style="0" customWidth="1"/>
  </cols>
  <sheetData>
    <row r="1" spans="1:13" ht="12.75">
      <c r="A1" s="76" t="s">
        <v>90</v>
      </c>
      <c r="M1" s="22" t="s">
        <v>94</v>
      </c>
    </row>
    <row r="2" spans="1:20" ht="12.75">
      <c r="A2" s="10" t="s">
        <v>57</v>
      </c>
      <c r="Q2" s="10"/>
      <c r="R2" s="10"/>
      <c r="S2" s="10"/>
      <c r="T2" s="10"/>
    </row>
    <row r="3" spans="1:20" ht="12.75">
      <c r="A3" s="10" t="s">
        <v>11</v>
      </c>
      <c r="Q3" s="10"/>
      <c r="R3" s="10"/>
      <c r="S3" s="10"/>
      <c r="T3" s="10"/>
    </row>
    <row r="4" ht="12.75">
      <c r="A4" s="2"/>
    </row>
    <row r="5" spans="1:30" ht="12.75">
      <c r="A5" s="2"/>
      <c r="Q5" s="12"/>
      <c r="R5" s="12"/>
      <c r="S5" s="12"/>
      <c r="T5" s="12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2" t="s">
        <v>12</v>
      </c>
      <c r="B6" s="2"/>
      <c r="C6" s="2"/>
      <c r="D6" s="2"/>
      <c r="E6" s="2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M6" s="2"/>
      <c r="N6" s="2"/>
      <c r="O6" s="2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2.75">
      <c r="A8" s="3"/>
      <c r="B8" s="3"/>
      <c r="C8" s="3" t="s">
        <v>19</v>
      </c>
      <c r="D8" s="3"/>
      <c r="F8" s="4" t="s">
        <v>78</v>
      </c>
      <c r="G8" s="2"/>
      <c r="H8" s="2"/>
      <c r="I8" s="2"/>
      <c r="J8" s="2"/>
      <c r="K8" s="2"/>
      <c r="L8" s="2"/>
      <c r="M8" s="2"/>
      <c r="N8" s="2"/>
      <c r="O8" s="2"/>
      <c r="Q8" s="14"/>
      <c r="R8" s="14"/>
      <c r="S8" s="14"/>
      <c r="T8" s="14"/>
      <c r="U8" s="14"/>
      <c r="V8" s="14"/>
      <c r="W8" s="14"/>
      <c r="X8" s="14"/>
      <c r="Y8" s="12"/>
      <c r="Z8" s="12"/>
      <c r="AA8" s="12"/>
      <c r="AB8" s="12"/>
      <c r="AC8" s="12"/>
      <c r="AD8" s="12"/>
    </row>
    <row r="9" spans="1:30" ht="13.5" thickBot="1">
      <c r="A9" s="2"/>
      <c r="B9" s="4"/>
      <c r="Q9" s="12"/>
      <c r="R9" s="12"/>
      <c r="S9" s="12"/>
      <c r="T9" s="12"/>
      <c r="U9" s="15"/>
      <c r="V9" s="1"/>
      <c r="W9" s="1"/>
      <c r="X9" s="1"/>
      <c r="Y9" s="1"/>
      <c r="Z9" s="1"/>
      <c r="AA9" s="1"/>
      <c r="AB9" s="1"/>
      <c r="AC9" s="1"/>
      <c r="AD9" s="1"/>
    </row>
    <row r="10" spans="1:51" ht="44.25" customHeight="1" thickTop="1">
      <c r="A10" s="50" t="s">
        <v>20</v>
      </c>
      <c r="B10" s="51" t="s">
        <v>79</v>
      </c>
      <c r="C10" s="51" t="s">
        <v>80</v>
      </c>
      <c r="D10" s="51" t="s">
        <v>89</v>
      </c>
      <c r="E10" s="51" t="s">
        <v>81</v>
      </c>
      <c r="F10" s="51" t="s">
        <v>82</v>
      </c>
      <c r="G10" s="51" t="s">
        <v>83</v>
      </c>
      <c r="H10" s="51" t="s">
        <v>84</v>
      </c>
      <c r="I10" s="51" t="s">
        <v>85</v>
      </c>
      <c r="J10" s="51" t="s">
        <v>86</v>
      </c>
      <c r="K10" s="51" t="s">
        <v>87</v>
      </c>
      <c r="L10" s="51" t="s">
        <v>88</v>
      </c>
      <c r="M10" s="51" t="s">
        <v>92</v>
      </c>
      <c r="N10" s="77" t="s">
        <v>93</v>
      </c>
      <c r="P10" s="9" t="s">
        <v>34</v>
      </c>
      <c r="Q10" s="9"/>
      <c r="R10" s="9"/>
      <c r="S10" s="9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ht="12.75">
      <c r="A11" s="38">
        <v>1</v>
      </c>
      <c r="B11" s="44">
        <v>14.9</v>
      </c>
      <c r="C11" s="44">
        <v>6.7</v>
      </c>
      <c r="D11" s="44">
        <v>6.6</v>
      </c>
      <c r="E11" s="44">
        <v>0</v>
      </c>
      <c r="F11" s="44">
        <v>8.5</v>
      </c>
      <c r="G11" s="45">
        <v>5</v>
      </c>
      <c r="H11" s="45">
        <v>60</v>
      </c>
      <c r="I11" s="45" t="str">
        <f aca="true" t="shared" si="0" ref="I11:I41">VLOOKUP(H11,WIND,2)</f>
        <v>NE</v>
      </c>
      <c r="J11" s="45">
        <v>16</v>
      </c>
      <c r="K11" s="45" t="s">
        <v>30</v>
      </c>
      <c r="L11" s="69">
        <v>0.5</v>
      </c>
      <c r="M11" s="39">
        <f ca="1">VLOOKUP(L11,OFFSET(car1,0,6),2)</f>
        <v>17</v>
      </c>
      <c r="N11" s="70">
        <f ca="1">VLOOKUP(L11,OFFSET(car1,0,6),3)</f>
        <v>0</v>
      </c>
      <c r="P11" s="2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ht="12.75">
      <c r="A12" s="38">
        <v>2</v>
      </c>
      <c r="B12" s="44">
        <v>13.3</v>
      </c>
      <c r="C12" s="44">
        <v>4.6</v>
      </c>
      <c r="D12" s="44">
        <v>-0.8</v>
      </c>
      <c r="E12" s="44">
        <v>0</v>
      </c>
      <c r="F12" s="44">
        <v>3.3</v>
      </c>
      <c r="G12" s="45">
        <v>9</v>
      </c>
      <c r="H12" s="45">
        <v>250</v>
      </c>
      <c r="I12" s="45" t="str">
        <f t="shared" si="0"/>
        <v>W</v>
      </c>
      <c r="J12" s="45">
        <v>24</v>
      </c>
      <c r="K12" s="45" t="s">
        <v>30</v>
      </c>
      <c r="L12" s="69">
        <f aca="true" t="shared" si="1" ref="L12:L43">$L$11</f>
        <v>0.5</v>
      </c>
      <c r="M12" s="39">
        <f ca="1">VLOOKUP(L12,OFFSET(car2,0,6),2)</f>
        <v>17</v>
      </c>
      <c r="N12" s="70">
        <f ca="1">VLOOKUP(L12,OFFSET(car2,0,6),3)</f>
        <v>0</v>
      </c>
      <c r="P12" s="2" t="s">
        <v>21</v>
      </c>
      <c r="Q12" t="s">
        <v>35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ht="12.75">
      <c r="A13" s="38">
        <v>3</v>
      </c>
      <c r="B13" s="44">
        <v>12.7</v>
      </c>
      <c r="C13" s="44">
        <v>5.2</v>
      </c>
      <c r="D13" s="44">
        <v>2.3</v>
      </c>
      <c r="E13" s="44">
        <v>2.8</v>
      </c>
      <c r="F13" s="44">
        <v>9.7</v>
      </c>
      <c r="G13" s="45">
        <v>11</v>
      </c>
      <c r="H13" s="45">
        <v>270</v>
      </c>
      <c r="I13" s="45" t="str">
        <f t="shared" si="0"/>
        <v>W</v>
      </c>
      <c r="J13" s="45">
        <v>26</v>
      </c>
      <c r="K13" s="45" t="s">
        <v>31</v>
      </c>
      <c r="L13" s="69">
        <f t="shared" si="1"/>
        <v>0.5</v>
      </c>
      <c r="M13" s="39">
        <f ca="1">VLOOKUP(L13,OFFSET(car3,0,6),2)</f>
        <v>19</v>
      </c>
      <c r="N13" s="70">
        <f ca="1">VLOOKUP(L13,OFFSET(car3,0,6),3)</f>
        <v>3</v>
      </c>
      <c r="P13" s="2" t="s">
        <v>22</v>
      </c>
      <c r="Q13" t="s">
        <v>36</v>
      </c>
      <c r="T13" s="18"/>
      <c r="U13" s="18"/>
      <c r="V13" s="18"/>
      <c r="W13" s="18"/>
      <c r="X13" s="18"/>
      <c r="Y13" s="17"/>
      <c r="Z13" s="17"/>
      <c r="AA13" s="17"/>
      <c r="AB13" s="17"/>
      <c r="AC13" s="17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ht="12.75">
      <c r="A14" s="38">
        <v>4</v>
      </c>
      <c r="B14" s="44">
        <v>12.2</v>
      </c>
      <c r="C14" s="44">
        <v>5.5</v>
      </c>
      <c r="D14" s="44">
        <v>4.5</v>
      </c>
      <c r="E14" s="44">
        <v>5.4</v>
      </c>
      <c r="F14" s="44">
        <v>1.9</v>
      </c>
      <c r="G14" s="45">
        <v>7</v>
      </c>
      <c r="H14" s="45">
        <v>230</v>
      </c>
      <c r="I14" s="45" t="str">
        <f t="shared" si="0"/>
        <v>SW</v>
      </c>
      <c r="J14" s="45">
        <v>21</v>
      </c>
      <c r="K14" s="45" t="s">
        <v>31</v>
      </c>
      <c r="L14" s="69">
        <f t="shared" si="1"/>
        <v>0.5</v>
      </c>
      <c r="M14" s="39">
        <f ca="1">VLOOKUP(L14,OFFSET(car4,0,6),2)</f>
        <v>27</v>
      </c>
      <c r="N14" s="70">
        <f ca="1">VLOOKUP(L14,OFFSET(car4,0,6),3)</f>
        <v>3</v>
      </c>
      <c r="P14" s="2" t="s">
        <v>23</v>
      </c>
      <c r="Q14" t="s">
        <v>37</v>
      </c>
      <c r="T14" s="18"/>
      <c r="U14" s="18"/>
      <c r="V14" s="18"/>
      <c r="W14" s="18"/>
      <c r="X14" s="18"/>
      <c r="Y14" s="17"/>
      <c r="Z14" s="17"/>
      <c r="AA14" s="17"/>
      <c r="AB14" s="17"/>
      <c r="AC14" s="17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ht="12.75">
      <c r="A15" s="38">
        <v>5</v>
      </c>
      <c r="B15" s="44">
        <v>11.7</v>
      </c>
      <c r="C15" s="44">
        <v>2.7</v>
      </c>
      <c r="D15" s="44">
        <v>-1.7</v>
      </c>
      <c r="E15" s="44">
        <v>2.6</v>
      </c>
      <c r="F15" s="44">
        <v>5.5</v>
      </c>
      <c r="G15" s="45">
        <v>5</v>
      </c>
      <c r="H15" s="45">
        <v>120</v>
      </c>
      <c r="I15" s="45" t="str">
        <f t="shared" si="0"/>
        <v>SE</v>
      </c>
      <c r="J15" s="45">
        <v>24</v>
      </c>
      <c r="K15" s="45" t="s">
        <v>31</v>
      </c>
      <c r="L15" s="69">
        <f t="shared" si="1"/>
        <v>0.5</v>
      </c>
      <c r="M15" s="39">
        <f ca="1">VLOOKUP(L15,OFFSET(car5,0,6),2)</f>
        <v>31</v>
      </c>
      <c r="N15" s="70">
        <f ca="1">VLOOKUP(L15,OFFSET(car5,0,6),3)</f>
        <v>8</v>
      </c>
      <c r="P15" s="2" t="s">
        <v>24</v>
      </c>
      <c r="Q15" t="s">
        <v>38</v>
      </c>
      <c r="T15" s="18"/>
      <c r="U15" s="18"/>
      <c r="V15" s="18"/>
      <c r="W15" s="18"/>
      <c r="X15" s="18"/>
      <c r="Y15" s="17"/>
      <c r="Z15" s="17"/>
      <c r="AA15" s="17"/>
      <c r="AB15" s="17"/>
      <c r="AC15" s="17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ht="12.75">
      <c r="A16" s="38">
        <v>6</v>
      </c>
      <c r="B16" s="44">
        <v>14.3</v>
      </c>
      <c r="C16" s="44">
        <v>4.3</v>
      </c>
      <c r="D16" s="44">
        <v>-1.3</v>
      </c>
      <c r="E16" s="44">
        <v>2.4</v>
      </c>
      <c r="F16" s="44">
        <v>2.8</v>
      </c>
      <c r="G16" s="45">
        <v>4</v>
      </c>
      <c r="H16" s="45">
        <v>110</v>
      </c>
      <c r="I16" s="45" t="str">
        <f t="shared" si="0"/>
        <v>E</v>
      </c>
      <c r="J16" s="45">
        <v>22</v>
      </c>
      <c r="K16" s="45" t="s">
        <v>30</v>
      </c>
      <c r="L16" s="69">
        <f t="shared" si="1"/>
        <v>0.5</v>
      </c>
      <c r="M16" s="39">
        <f ca="1">VLOOKUP(L16,OFFSET(car6,0,6),2)</f>
        <v>32</v>
      </c>
      <c r="N16" s="70">
        <f ca="1">VLOOKUP(L16,OFFSET(car6,0,6),3)</f>
        <v>13</v>
      </c>
      <c r="P16" s="2" t="s">
        <v>25</v>
      </c>
      <c r="Q16" t="s">
        <v>39</v>
      </c>
      <c r="T16" s="18"/>
      <c r="U16" s="18"/>
      <c r="V16" s="18"/>
      <c r="W16" s="18"/>
      <c r="X16" s="18"/>
      <c r="Y16" s="17"/>
      <c r="Z16" s="17"/>
      <c r="AA16" s="17"/>
      <c r="AB16" s="17"/>
      <c r="AC16" s="17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ht="12.75">
      <c r="A17" s="38">
        <v>7</v>
      </c>
      <c r="B17" s="44">
        <v>15.9</v>
      </c>
      <c r="C17" s="44">
        <v>6.8</v>
      </c>
      <c r="D17" s="44">
        <v>4.7</v>
      </c>
      <c r="E17" s="44">
        <v>1.2</v>
      </c>
      <c r="F17" s="44">
        <v>3.3</v>
      </c>
      <c r="G17" s="45">
        <v>3</v>
      </c>
      <c r="H17" s="45">
        <v>10</v>
      </c>
      <c r="I17" s="45" t="str">
        <f t="shared" si="0"/>
        <v>N</v>
      </c>
      <c r="J17" s="45">
        <v>13</v>
      </c>
      <c r="K17" s="45" t="s">
        <v>30</v>
      </c>
      <c r="L17" s="69">
        <f t="shared" si="1"/>
        <v>0.5</v>
      </c>
      <c r="M17" s="39">
        <f ca="1">VLOOKUP(L17,OFFSET(car7,0,6),2)</f>
        <v>38</v>
      </c>
      <c r="N17" s="70">
        <f ca="1">VLOOKUP(L17,OFFSET(car7,0,6),3)</f>
        <v>3</v>
      </c>
      <c r="P17" s="2" t="s">
        <v>26</v>
      </c>
      <c r="Q17" t="s">
        <v>40</v>
      </c>
      <c r="T17" s="18"/>
      <c r="U17" s="18"/>
      <c r="V17" s="18"/>
      <c r="W17" s="18"/>
      <c r="X17" s="18"/>
      <c r="Y17" s="17"/>
      <c r="Z17" s="17"/>
      <c r="AA17" s="17"/>
      <c r="AB17" s="17"/>
      <c r="AC17" s="17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ht="12.75">
      <c r="A18" s="38">
        <v>8</v>
      </c>
      <c r="B18" s="44">
        <v>16.9</v>
      </c>
      <c r="C18" s="44">
        <v>8.1</v>
      </c>
      <c r="D18" s="44">
        <v>8.8</v>
      </c>
      <c r="E18" s="44">
        <v>6</v>
      </c>
      <c r="F18" s="44">
        <v>0.8</v>
      </c>
      <c r="G18" s="45">
        <v>3</v>
      </c>
      <c r="H18" s="45">
        <v>260</v>
      </c>
      <c r="I18" s="45" t="str">
        <f t="shared" si="0"/>
        <v>W</v>
      </c>
      <c r="J18" s="45">
        <v>14</v>
      </c>
      <c r="K18" s="45" t="s">
        <v>30</v>
      </c>
      <c r="L18" s="69">
        <f t="shared" si="1"/>
        <v>0.5</v>
      </c>
      <c r="M18" s="39">
        <f ca="1">VLOOKUP(L18,OFFSET(car8,0,6),2)</f>
        <v>40</v>
      </c>
      <c r="N18" s="70">
        <f ca="1">VLOOKUP(L18,OFFSET(car8,0,6),3)</f>
        <v>3</v>
      </c>
      <c r="P18" s="2" t="s">
        <v>27</v>
      </c>
      <c r="Q18" t="s">
        <v>41</v>
      </c>
      <c r="T18" s="18"/>
      <c r="U18" s="18"/>
      <c r="V18" s="18"/>
      <c r="W18" s="18"/>
      <c r="X18" s="18"/>
      <c r="Y18" s="17"/>
      <c r="Z18" s="17"/>
      <c r="AA18" s="17"/>
      <c r="AB18" s="17"/>
      <c r="AC18" s="17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ht="12.75">
      <c r="A19" s="38">
        <v>9</v>
      </c>
      <c r="B19" s="44">
        <v>16.9</v>
      </c>
      <c r="C19" s="44">
        <v>10.3</v>
      </c>
      <c r="D19" s="44">
        <v>10.1</v>
      </c>
      <c r="E19" s="44">
        <v>0</v>
      </c>
      <c r="F19" s="44">
        <v>3</v>
      </c>
      <c r="G19" s="45">
        <v>3</v>
      </c>
      <c r="H19" s="45">
        <v>90</v>
      </c>
      <c r="I19" s="45" t="str">
        <f t="shared" si="0"/>
        <v>E</v>
      </c>
      <c r="J19" s="45">
        <v>13</v>
      </c>
      <c r="K19" s="45" t="s">
        <v>30</v>
      </c>
      <c r="L19" s="69">
        <f t="shared" si="1"/>
        <v>0.5</v>
      </c>
      <c r="M19" s="39">
        <f ca="1">VLOOKUP(L19,OFFSET(car9,0,6),2)</f>
        <v>23</v>
      </c>
      <c r="N19" s="70">
        <f ca="1">VLOOKUP(L19,OFFSET(car9,0,6),3)</f>
        <v>32</v>
      </c>
      <c r="P19" s="2" t="s">
        <v>28</v>
      </c>
      <c r="Q19" t="s">
        <v>42</v>
      </c>
      <c r="T19" s="18"/>
      <c r="U19" s="18"/>
      <c r="V19" s="18"/>
      <c r="W19" s="18"/>
      <c r="X19" s="18"/>
      <c r="Y19" s="17"/>
      <c r="Z19" s="17"/>
      <c r="AA19" s="17"/>
      <c r="AB19" s="17"/>
      <c r="AC19" s="17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12.75">
      <c r="A20" s="38">
        <v>10</v>
      </c>
      <c r="B20" s="44">
        <v>20.8</v>
      </c>
      <c r="C20" s="44">
        <v>7.9</v>
      </c>
      <c r="D20" s="44">
        <v>3</v>
      </c>
      <c r="E20" s="44">
        <v>0.4</v>
      </c>
      <c r="F20" s="44">
        <v>9.5</v>
      </c>
      <c r="G20" s="45">
        <v>3</v>
      </c>
      <c r="H20" s="45">
        <v>10</v>
      </c>
      <c r="I20" s="45" t="str">
        <f t="shared" si="0"/>
        <v>N</v>
      </c>
      <c r="J20" s="45">
        <v>18</v>
      </c>
      <c r="K20" s="45" t="s">
        <v>30</v>
      </c>
      <c r="L20" s="69">
        <f t="shared" si="1"/>
        <v>0.5</v>
      </c>
      <c r="M20" s="39">
        <f ca="1">VLOOKUP(L20,OFFSET(car10,0,6),2)</f>
        <v>19</v>
      </c>
      <c r="N20" s="70">
        <f ca="1">VLOOKUP(L20,OFFSET(car10,0,6),3)</f>
        <v>0</v>
      </c>
      <c r="P20" s="2" t="s">
        <v>29</v>
      </c>
      <c r="Q20"/>
      <c r="T20" s="18"/>
      <c r="U20" s="18"/>
      <c r="V20" s="18"/>
      <c r="W20" s="18"/>
      <c r="X20" s="18"/>
      <c r="Y20" s="17"/>
      <c r="Z20" s="17"/>
      <c r="AA20" s="17"/>
      <c r="AB20" s="17"/>
      <c r="AC20" s="17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ht="12.75">
      <c r="A21" s="38">
        <v>11</v>
      </c>
      <c r="B21" s="44">
        <v>15.1</v>
      </c>
      <c r="C21" s="44">
        <v>9.2</v>
      </c>
      <c r="D21" s="44">
        <v>6.4</v>
      </c>
      <c r="E21" s="44">
        <v>0</v>
      </c>
      <c r="F21" s="44">
        <v>1.1</v>
      </c>
      <c r="G21" s="45">
        <v>5</v>
      </c>
      <c r="H21" s="45">
        <v>30</v>
      </c>
      <c r="I21" s="45" t="str">
        <f t="shared" si="0"/>
        <v>NE</v>
      </c>
      <c r="J21" s="45">
        <v>14</v>
      </c>
      <c r="K21" s="45" t="s">
        <v>30</v>
      </c>
      <c r="L21" s="69">
        <f t="shared" si="1"/>
        <v>0.5</v>
      </c>
      <c r="M21" s="39">
        <f ca="1">VLOOKUP(L21,OFFSET(car11,0,6),2)</f>
        <v>27</v>
      </c>
      <c r="N21" s="70">
        <f ca="1">VLOOKUP(L21,OFFSET(car11,0,6),3)</f>
        <v>11</v>
      </c>
      <c r="P21" s="2" t="s">
        <v>43</v>
      </c>
      <c r="Q21" t="s">
        <v>44</v>
      </c>
      <c r="T21" s="18"/>
      <c r="U21" s="18"/>
      <c r="V21" s="18"/>
      <c r="W21" s="18"/>
      <c r="X21" s="18"/>
      <c r="Y21" s="17"/>
      <c r="Z21" s="17"/>
      <c r="AA21" s="17"/>
      <c r="AB21" s="17"/>
      <c r="AC21" s="17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ht="12.75">
      <c r="A22" s="38">
        <v>12</v>
      </c>
      <c r="B22" s="44">
        <v>16.8</v>
      </c>
      <c r="C22" s="44">
        <v>9</v>
      </c>
      <c r="D22" s="44">
        <v>8.5</v>
      </c>
      <c r="E22" s="44">
        <v>0</v>
      </c>
      <c r="F22" s="44">
        <v>9.3</v>
      </c>
      <c r="G22" s="45">
        <v>5</v>
      </c>
      <c r="H22" s="45">
        <v>90</v>
      </c>
      <c r="I22" s="45" t="str">
        <f t="shared" si="0"/>
        <v>E</v>
      </c>
      <c r="J22" s="45">
        <v>14</v>
      </c>
      <c r="K22" s="45" t="s">
        <v>30</v>
      </c>
      <c r="L22" s="69">
        <f t="shared" si="1"/>
        <v>0.5</v>
      </c>
      <c r="M22" s="39">
        <f ca="1">VLOOKUP(L22,OFFSET(car12,0,6),2)</f>
        <v>32</v>
      </c>
      <c r="N22" s="70">
        <f ca="1">VLOOKUP(L22,OFFSET(car12,0,6),3)</f>
        <v>106</v>
      </c>
      <c r="P22" s="2" t="s">
        <v>45</v>
      </c>
      <c r="Q22" t="s">
        <v>46</v>
      </c>
      <c r="T22" s="18"/>
      <c r="U22" s="18"/>
      <c r="V22" s="18"/>
      <c r="W22" s="18"/>
      <c r="X22" s="18"/>
      <c r="Y22" s="17"/>
      <c r="Z22" s="17"/>
      <c r="AA22" s="17"/>
      <c r="AB22" s="17"/>
      <c r="AC22" s="17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ht="12.75">
      <c r="A23" s="38">
        <v>13</v>
      </c>
      <c r="B23" s="44">
        <v>16.2</v>
      </c>
      <c r="C23" s="44">
        <v>9.2</v>
      </c>
      <c r="D23" s="44">
        <v>7.1</v>
      </c>
      <c r="E23" s="44">
        <v>0</v>
      </c>
      <c r="F23" s="44">
        <v>5.6</v>
      </c>
      <c r="G23" s="45">
        <v>8</v>
      </c>
      <c r="H23" s="45">
        <v>270</v>
      </c>
      <c r="I23" s="45" t="str">
        <f t="shared" si="0"/>
        <v>W</v>
      </c>
      <c r="J23" s="45">
        <v>20</v>
      </c>
      <c r="K23" s="45" t="s">
        <v>30</v>
      </c>
      <c r="L23" s="69">
        <f t="shared" si="1"/>
        <v>0.5</v>
      </c>
      <c r="M23" s="39">
        <f ca="1">VLOOKUP(L23,OFFSET(car13,0,6),2)</f>
        <v>0</v>
      </c>
      <c r="N23" s="70">
        <f ca="1">VLOOKUP(L23,OFFSET(car13,0,6),3)</f>
        <v>0</v>
      </c>
      <c r="P23" s="2" t="s">
        <v>47</v>
      </c>
      <c r="Q23" t="s">
        <v>48</v>
      </c>
      <c r="T23" s="18"/>
      <c r="U23" s="18"/>
      <c r="V23" s="18"/>
      <c r="W23" s="18"/>
      <c r="X23" s="18"/>
      <c r="Y23" s="17"/>
      <c r="Z23" s="17"/>
      <c r="AA23" s="17"/>
      <c r="AB23" s="17"/>
      <c r="AC23" s="17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ht="12.75">
      <c r="A24" s="38">
        <v>14</v>
      </c>
      <c r="B24" s="44">
        <v>15.7</v>
      </c>
      <c r="C24" s="44">
        <v>11.3</v>
      </c>
      <c r="D24" s="44">
        <v>9.4</v>
      </c>
      <c r="E24" s="44">
        <v>0</v>
      </c>
      <c r="F24" s="44">
        <v>0.1</v>
      </c>
      <c r="G24" s="45">
        <v>10</v>
      </c>
      <c r="H24" s="45">
        <v>250</v>
      </c>
      <c r="I24" s="45" t="str">
        <f t="shared" si="0"/>
        <v>W</v>
      </c>
      <c r="J24" s="45">
        <v>25</v>
      </c>
      <c r="K24" s="45" t="s">
        <v>30</v>
      </c>
      <c r="L24" s="69">
        <f t="shared" si="1"/>
        <v>0.5</v>
      </c>
      <c r="M24" s="39">
        <f ca="1">VLOOKUP(L24,OFFSET(car14,0,6),2)</f>
        <v>29</v>
      </c>
      <c r="N24" s="70">
        <f ca="1">VLOOKUP(L24,OFFSET(car14,0,6),3)</f>
        <v>3</v>
      </c>
      <c r="P24" s="2" t="s">
        <v>49</v>
      </c>
      <c r="Q24" t="s">
        <v>50</v>
      </c>
      <c r="T24" s="18"/>
      <c r="U24" s="18"/>
      <c r="V24" s="18"/>
      <c r="W24" s="18"/>
      <c r="X24" s="18"/>
      <c r="Y24" s="17"/>
      <c r="Z24" s="17"/>
      <c r="AA24" s="17"/>
      <c r="AB24" s="17"/>
      <c r="AC24" s="17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ht="12.75">
      <c r="A25" s="38">
        <v>15</v>
      </c>
      <c r="B25" s="44">
        <v>19</v>
      </c>
      <c r="C25" s="44">
        <v>11.3</v>
      </c>
      <c r="D25" s="44">
        <v>9.5</v>
      </c>
      <c r="E25" s="44">
        <v>0</v>
      </c>
      <c r="F25" s="44">
        <v>6.3</v>
      </c>
      <c r="G25" s="45">
        <v>11</v>
      </c>
      <c r="H25" s="45">
        <v>260</v>
      </c>
      <c r="I25" s="45" t="str">
        <f t="shared" si="0"/>
        <v>W</v>
      </c>
      <c r="J25" s="45">
        <v>25</v>
      </c>
      <c r="K25" s="45" t="s">
        <v>30</v>
      </c>
      <c r="L25" s="69">
        <f t="shared" si="1"/>
        <v>0.5</v>
      </c>
      <c r="M25" s="39">
        <f ca="1">VLOOKUP(L25,OFFSET(car15,0,6),2)</f>
        <v>13</v>
      </c>
      <c r="N25" s="70">
        <f ca="1">VLOOKUP(L25,OFFSET(car15,0,6),3)</f>
        <v>0</v>
      </c>
      <c r="P25" s="2" t="s">
        <v>51</v>
      </c>
      <c r="Q25" t="s">
        <v>52</v>
      </c>
      <c r="T25" s="18"/>
      <c r="U25" s="18"/>
      <c r="V25" s="18"/>
      <c r="W25" s="18"/>
      <c r="X25" s="18"/>
      <c r="Y25" s="17"/>
      <c r="Z25" s="17"/>
      <c r="AA25" s="17"/>
      <c r="AB25" s="17"/>
      <c r="AC25" s="17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ht="12.75">
      <c r="A26" s="38">
        <v>16</v>
      </c>
      <c r="B26" s="44">
        <v>21.4</v>
      </c>
      <c r="C26" s="44">
        <v>10</v>
      </c>
      <c r="D26" s="44">
        <v>8.1</v>
      </c>
      <c r="E26" s="44">
        <v>0</v>
      </c>
      <c r="F26" s="44">
        <v>11.7</v>
      </c>
      <c r="G26" s="45">
        <v>8</v>
      </c>
      <c r="H26" s="45">
        <v>250</v>
      </c>
      <c r="I26" s="45" t="str">
        <f t="shared" si="0"/>
        <v>W</v>
      </c>
      <c r="J26" s="45">
        <v>18</v>
      </c>
      <c r="K26" s="45" t="s">
        <v>31</v>
      </c>
      <c r="L26" s="69">
        <f t="shared" si="1"/>
        <v>0.5</v>
      </c>
      <c r="M26" s="39">
        <f ca="1">VLOOKUP(L26,OFFSET(car16,0,6),2)</f>
        <v>6</v>
      </c>
      <c r="N26" s="70">
        <f ca="1">VLOOKUP(L26,OFFSET(car16,0,6),3)</f>
        <v>0</v>
      </c>
      <c r="P26" s="2" t="s">
        <v>53</v>
      </c>
      <c r="Q26" t="s">
        <v>54</v>
      </c>
      <c r="T26" s="18"/>
      <c r="U26" s="18"/>
      <c r="V26" s="18"/>
      <c r="W26" s="18"/>
      <c r="X26" s="18"/>
      <c r="Y26" s="17"/>
      <c r="Z26" s="17"/>
      <c r="AA26" s="17"/>
      <c r="AB26" s="17"/>
      <c r="AC26" s="17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ht="12.75">
      <c r="A27" s="38">
        <v>17</v>
      </c>
      <c r="B27" s="44">
        <v>15.6</v>
      </c>
      <c r="C27" s="44">
        <v>9.7</v>
      </c>
      <c r="D27" s="44">
        <v>7.3</v>
      </c>
      <c r="E27" s="44">
        <v>0</v>
      </c>
      <c r="F27" s="44">
        <v>5.8</v>
      </c>
      <c r="G27" s="45">
        <v>11</v>
      </c>
      <c r="H27" s="45">
        <v>250</v>
      </c>
      <c r="I27" s="45" t="str">
        <f t="shared" si="0"/>
        <v>W</v>
      </c>
      <c r="J27" s="45">
        <v>27</v>
      </c>
      <c r="K27" s="45" t="s">
        <v>30</v>
      </c>
      <c r="L27" s="69">
        <f t="shared" si="1"/>
        <v>0.5</v>
      </c>
      <c r="M27" s="39">
        <f ca="1">VLOOKUP(L27,OFFSET(car17,0,6),2)</f>
        <v>21</v>
      </c>
      <c r="N27" s="70">
        <f ca="1">VLOOKUP(L27,OFFSET(car17,0,6),3)</f>
        <v>0</v>
      </c>
      <c r="P27" s="2" t="s">
        <v>32</v>
      </c>
      <c r="Q27"/>
      <c r="T27" s="18"/>
      <c r="U27" s="18"/>
      <c r="V27" s="18"/>
      <c r="W27" s="18"/>
      <c r="X27" s="18"/>
      <c r="Y27" s="17"/>
      <c r="Z27" s="17"/>
      <c r="AA27" s="17"/>
      <c r="AB27" s="17"/>
      <c r="AC27" s="17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ht="12.75">
      <c r="A28" s="38">
        <v>18</v>
      </c>
      <c r="B28" s="44">
        <v>16.1</v>
      </c>
      <c r="C28" s="44">
        <v>7.9</v>
      </c>
      <c r="D28" s="44">
        <v>5.7</v>
      </c>
      <c r="E28" s="44">
        <v>0.4</v>
      </c>
      <c r="F28" s="44">
        <v>1.9</v>
      </c>
      <c r="G28" s="45">
        <v>12</v>
      </c>
      <c r="H28" s="45">
        <v>250</v>
      </c>
      <c r="I28" s="45" t="str">
        <f t="shared" si="0"/>
        <v>W</v>
      </c>
      <c r="J28" s="45">
        <v>27</v>
      </c>
      <c r="K28" s="45" t="s">
        <v>30</v>
      </c>
      <c r="L28" s="69">
        <f t="shared" si="1"/>
        <v>0.5</v>
      </c>
      <c r="M28" s="39">
        <f ca="1">VLOOKUP(L28,OFFSET(car18,0,6),2)</f>
        <v>0</v>
      </c>
      <c r="N28" s="70">
        <f ca="1">VLOOKUP(L28,OFFSET(car18,0,6),3)</f>
        <v>0</v>
      </c>
      <c r="P28" s="2"/>
      <c r="Q28"/>
      <c r="T28" s="18"/>
      <c r="U28" s="18"/>
      <c r="V28" s="18"/>
      <c r="W28" s="18"/>
      <c r="X28" s="18"/>
      <c r="Y28" s="17"/>
      <c r="Z28" s="17"/>
      <c r="AA28" s="17"/>
      <c r="AB28" s="17"/>
      <c r="AC28" s="17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ht="12.75">
      <c r="A29" s="38">
        <v>19</v>
      </c>
      <c r="B29" s="44">
        <v>16</v>
      </c>
      <c r="C29" s="44">
        <v>10.5</v>
      </c>
      <c r="D29" s="44">
        <v>9.4</v>
      </c>
      <c r="E29" s="44">
        <v>0</v>
      </c>
      <c r="F29" s="44">
        <v>8.3</v>
      </c>
      <c r="G29" s="45">
        <v>13</v>
      </c>
      <c r="H29" s="45">
        <v>270</v>
      </c>
      <c r="I29" s="45" t="str">
        <f t="shared" si="0"/>
        <v>W</v>
      </c>
      <c r="J29" s="45">
        <v>29</v>
      </c>
      <c r="K29" s="45" t="s">
        <v>30</v>
      </c>
      <c r="L29" s="69">
        <f t="shared" si="1"/>
        <v>0.5</v>
      </c>
      <c r="M29" s="39">
        <f ca="1">VLOOKUP(L29,OFFSET(car19,0,6),2)</f>
        <v>25</v>
      </c>
      <c r="N29" s="70">
        <f ca="1">VLOOKUP(L29,OFFSET(car19,0,6),3)</f>
        <v>0</v>
      </c>
      <c r="P29" s="2" t="s">
        <v>33</v>
      </c>
      <c r="Q29" t="s">
        <v>55</v>
      </c>
      <c r="T29" s="18"/>
      <c r="U29" s="18"/>
      <c r="V29" s="18"/>
      <c r="W29" s="18"/>
      <c r="X29" s="18"/>
      <c r="Y29" s="17"/>
      <c r="Z29" s="17"/>
      <c r="AA29" s="17"/>
      <c r="AB29" s="17"/>
      <c r="AC29" s="17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ht="12.75">
      <c r="A30" s="38">
        <v>20</v>
      </c>
      <c r="B30" s="44">
        <v>15.5</v>
      </c>
      <c r="C30" s="44">
        <v>6.7</v>
      </c>
      <c r="D30" s="44">
        <v>3.5</v>
      </c>
      <c r="E30" s="44">
        <v>4</v>
      </c>
      <c r="F30" s="44">
        <v>10.1</v>
      </c>
      <c r="G30" s="45">
        <v>7</v>
      </c>
      <c r="H30" s="45">
        <v>290</v>
      </c>
      <c r="I30" s="45" t="str">
        <f t="shared" si="0"/>
        <v>W</v>
      </c>
      <c r="J30" s="45">
        <v>21</v>
      </c>
      <c r="K30" s="45" t="s">
        <v>30</v>
      </c>
      <c r="L30" s="69">
        <f t="shared" si="1"/>
        <v>0.5</v>
      </c>
      <c r="M30" s="39">
        <f ca="1">VLOOKUP(L30,OFFSET(car20,0,6),2)</f>
        <v>21</v>
      </c>
      <c r="N30" s="70">
        <f ca="1">VLOOKUP(L30,OFFSET(car20,0,6),3)</f>
        <v>8</v>
      </c>
      <c r="P30" s="2"/>
      <c r="Q30"/>
      <c r="T30" s="18"/>
      <c r="U30" s="18"/>
      <c r="V30" s="18"/>
      <c r="W30" s="18"/>
      <c r="X30" s="18"/>
      <c r="Y30" s="17"/>
      <c r="Z30" s="17"/>
      <c r="AA30" s="17"/>
      <c r="AB30" s="17"/>
      <c r="AC30" s="17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ht="12.75">
      <c r="A31" s="38">
        <v>21</v>
      </c>
      <c r="B31" s="44">
        <v>13.3</v>
      </c>
      <c r="C31" s="44">
        <v>6.3</v>
      </c>
      <c r="D31" s="44">
        <v>3.8</v>
      </c>
      <c r="E31" s="44">
        <v>0.6</v>
      </c>
      <c r="F31" s="44">
        <v>4.5</v>
      </c>
      <c r="G31" s="45">
        <v>6</v>
      </c>
      <c r="H31" s="45">
        <v>60</v>
      </c>
      <c r="I31" s="45" t="str">
        <f t="shared" si="0"/>
        <v>NE</v>
      </c>
      <c r="J31" s="45">
        <v>15</v>
      </c>
      <c r="K31" s="45" t="s">
        <v>30</v>
      </c>
      <c r="L31" s="69">
        <f t="shared" si="1"/>
        <v>0.5</v>
      </c>
      <c r="M31" s="39">
        <f ca="1">VLOOKUP(L31,OFFSET(car21,0,6),2)</f>
        <v>13</v>
      </c>
      <c r="N31" s="70">
        <f ca="1">VLOOKUP(L31,OFFSET(car21,0,6),3)</f>
        <v>3</v>
      </c>
      <c r="P31" s="23"/>
      <c r="Q31" s="24"/>
      <c r="R31" s="23"/>
      <c r="S31" s="23"/>
      <c r="T31" s="18"/>
      <c r="U31" s="18"/>
      <c r="V31" s="18"/>
      <c r="W31" s="18"/>
      <c r="X31" s="18"/>
      <c r="Y31" s="17"/>
      <c r="Z31" s="17"/>
      <c r="AA31" s="17"/>
      <c r="AB31" s="17"/>
      <c r="AC31" s="17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ht="12.75">
      <c r="A32" s="38">
        <v>22</v>
      </c>
      <c r="B32" s="44">
        <v>16.9</v>
      </c>
      <c r="C32" s="44">
        <v>1.5</v>
      </c>
      <c r="D32" s="44">
        <v>-3.5</v>
      </c>
      <c r="E32" s="44">
        <v>0</v>
      </c>
      <c r="F32" s="44">
        <v>12.5</v>
      </c>
      <c r="G32" s="45">
        <v>5</v>
      </c>
      <c r="H32" s="45">
        <v>300</v>
      </c>
      <c r="I32" s="45" t="str">
        <f t="shared" si="0"/>
        <v>NW</v>
      </c>
      <c r="J32" s="45">
        <v>20</v>
      </c>
      <c r="K32" s="45" t="s">
        <v>30</v>
      </c>
      <c r="L32" s="69">
        <f t="shared" si="1"/>
        <v>0.5</v>
      </c>
      <c r="M32" s="39">
        <f ca="1">VLOOKUP(L32,OFFSET(car22,0,6),2)</f>
        <v>8</v>
      </c>
      <c r="N32" s="70">
        <f ca="1">VLOOKUP(L32,OFFSET(car22,0,6),3)</f>
        <v>0</v>
      </c>
      <c r="P32" s="23"/>
      <c r="Q32" s="24"/>
      <c r="R32" s="23"/>
      <c r="S32" s="23"/>
      <c r="T32" s="18"/>
      <c r="U32" s="18"/>
      <c r="V32" s="18"/>
      <c r="W32" s="18"/>
      <c r="X32" s="18"/>
      <c r="Y32" s="17"/>
      <c r="Z32" s="17"/>
      <c r="AA32" s="17"/>
      <c r="AB32" s="17"/>
      <c r="AC32" s="17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ht="12.75">
      <c r="A33" s="38">
        <v>23</v>
      </c>
      <c r="B33" s="44">
        <v>17.7</v>
      </c>
      <c r="C33" s="44">
        <v>3.2</v>
      </c>
      <c r="D33" s="44">
        <v>-2.2</v>
      </c>
      <c r="E33" s="44">
        <v>0</v>
      </c>
      <c r="F33" s="44">
        <v>14.2</v>
      </c>
      <c r="G33" s="45">
        <v>9</v>
      </c>
      <c r="H33" s="45">
        <v>250</v>
      </c>
      <c r="I33" s="45" t="str">
        <f t="shared" si="0"/>
        <v>W</v>
      </c>
      <c r="J33" s="45">
        <v>27</v>
      </c>
      <c r="K33" s="45" t="s">
        <v>31</v>
      </c>
      <c r="L33" s="69">
        <f t="shared" si="1"/>
        <v>0.5</v>
      </c>
      <c r="M33" s="39">
        <f ca="1">VLOOKUP(L33,OFFSET(car23,0,6),2)</f>
        <v>10</v>
      </c>
      <c r="N33" s="70">
        <f ca="1">VLOOKUP(L33,OFFSET(car23,0,6),3)</f>
        <v>0</v>
      </c>
      <c r="P33" s="23"/>
      <c r="Q33" s="24"/>
      <c r="R33" s="23"/>
      <c r="S33" s="23"/>
      <c r="T33" s="18"/>
      <c r="U33" s="18"/>
      <c r="V33" s="18"/>
      <c r="W33" s="18"/>
      <c r="X33" s="18"/>
      <c r="Y33" s="17"/>
      <c r="Z33" s="17"/>
      <c r="AA33" s="17"/>
      <c r="AB33" s="17"/>
      <c r="AC33" s="17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ht="12.75">
      <c r="A34" s="38">
        <v>24</v>
      </c>
      <c r="B34" s="44">
        <v>16.3</v>
      </c>
      <c r="C34" s="44">
        <v>7.5</v>
      </c>
      <c r="D34" s="44">
        <v>4.9</v>
      </c>
      <c r="E34" s="44">
        <v>0</v>
      </c>
      <c r="F34" s="44">
        <v>9.4</v>
      </c>
      <c r="G34" s="45">
        <v>11</v>
      </c>
      <c r="H34" s="45">
        <v>270</v>
      </c>
      <c r="I34" s="45" t="str">
        <f t="shared" si="0"/>
        <v>W</v>
      </c>
      <c r="J34" s="45">
        <v>25</v>
      </c>
      <c r="K34" s="45" t="s">
        <v>30</v>
      </c>
      <c r="L34" s="69">
        <f t="shared" si="1"/>
        <v>0.5</v>
      </c>
      <c r="M34" s="39">
        <f ca="1">VLOOKUP(L34,OFFSET(car24,0,6),2)</f>
        <v>40</v>
      </c>
      <c r="N34" s="70">
        <f ca="1">VLOOKUP(L34,OFFSET(car24,0,6),3)</f>
        <v>0</v>
      </c>
      <c r="P34" s="23"/>
      <c r="Q34" s="24"/>
      <c r="R34" s="23"/>
      <c r="S34" s="23"/>
      <c r="T34" s="18"/>
      <c r="U34" s="18"/>
      <c r="V34" s="18"/>
      <c r="W34" s="18"/>
      <c r="X34" s="18"/>
      <c r="Y34" s="17"/>
      <c r="Z34" s="17"/>
      <c r="AA34" s="17"/>
      <c r="AB34" s="17"/>
      <c r="AC34" s="17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ht="12.75">
      <c r="A35" s="38">
        <v>25</v>
      </c>
      <c r="B35" s="44">
        <v>15</v>
      </c>
      <c r="C35" s="44">
        <v>8</v>
      </c>
      <c r="D35" s="44">
        <v>6</v>
      </c>
      <c r="E35" s="44">
        <v>0</v>
      </c>
      <c r="F35" s="44">
        <v>3.4</v>
      </c>
      <c r="G35" s="45">
        <v>4</v>
      </c>
      <c r="H35" s="45">
        <v>20</v>
      </c>
      <c r="I35" s="45" t="str">
        <f t="shared" si="0"/>
        <v>N</v>
      </c>
      <c r="J35" s="45">
        <v>17</v>
      </c>
      <c r="K35" s="45" t="s">
        <v>31</v>
      </c>
      <c r="L35" s="69">
        <f t="shared" si="1"/>
        <v>0.5</v>
      </c>
      <c r="M35" s="39">
        <f ca="1">VLOOKUP(L35,OFFSET(car25,0,6),2)</f>
        <v>13</v>
      </c>
      <c r="N35" s="70">
        <f ca="1">VLOOKUP(L35,OFFSET(car25,0,6),3)</f>
        <v>0</v>
      </c>
      <c r="P35" s="23"/>
      <c r="Q35" s="24"/>
      <c r="R35" s="23"/>
      <c r="S35" s="23"/>
      <c r="T35" s="18"/>
      <c r="U35" s="18"/>
      <c r="V35" s="18"/>
      <c r="W35" s="18"/>
      <c r="X35" s="18"/>
      <c r="Y35" s="17"/>
      <c r="Z35" s="17"/>
      <c r="AA35" s="17"/>
      <c r="AB35" s="17"/>
      <c r="AC35" s="17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1:51" ht="12.75">
      <c r="A36" s="38">
        <v>26</v>
      </c>
      <c r="B36" s="44">
        <v>14.3</v>
      </c>
      <c r="C36" s="44">
        <v>5.6</v>
      </c>
      <c r="D36" s="44">
        <v>1</v>
      </c>
      <c r="E36" s="44">
        <v>0</v>
      </c>
      <c r="F36" s="44">
        <v>6.9</v>
      </c>
      <c r="G36" s="45">
        <v>7</v>
      </c>
      <c r="H36" s="45">
        <v>80</v>
      </c>
      <c r="I36" s="45" t="str">
        <f t="shared" si="0"/>
        <v>E</v>
      </c>
      <c r="J36" s="45">
        <v>16</v>
      </c>
      <c r="K36" s="45" t="s">
        <v>30</v>
      </c>
      <c r="L36" s="69">
        <f t="shared" si="1"/>
        <v>0.5</v>
      </c>
      <c r="M36" s="39">
        <f ca="1">VLOOKUP(L36,OFFSET(car26,0,6),2)</f>
        <v>13</v>
      </c>
      <c r="N36" s="70">
        <f ca="1">VLOOKUP(L36,OFFSET(car26,0,6),3)</f>
        <v>3</v>
      </c>
      <c r="P36" s="23"/>
      <c r="Q36" s="24"/>
      <c r="R36" s="23"/>
      <c r="S36" s="23"/>
      <c r="T36" s="18"/>
      <c r="U36" s="18"/>
      <c r="V36" s="18"/>
      <c r="W36" s="18"/>
      <c r="X36" s="18"/>
      <c r="Y36" s="17"/>
      <c r="Z36" s="17"/>
      <c r="AA36" s="17"/>
      <c r="AB36" s="17"/>
      <c r="AC36" s="17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12.75">
      <c r="A37" s="38">
        <v>27</v>
      </c>
      <c r="B37" s="44">
        <v>16.5</v>
      </c>
      <c r="C37" s="44">
        <v>2.8</v>
      </c>
      <c r="D37" s="44">
        <v>-2</v>
      </c>
      <c r="E37" s="44">
        <v>0</v>
      </c>
      <c r="F37" s="44">
        <v>14.2</v>
      </c>
      <c r="G37" s="45">
        <v>5</v>
      </c>
      <c r="H37" s="45">
        <v>70</v>
      </c>
      <c r="I37" s="45" t="str">
        <f t="shared" si="0"/>
        <v>E</v>
      </c>
      <c r="J37" s="45">
        <v>20</v>
      </c>
      <c r="K37" s="45" t="s">
        <v>30</v>
      </c>
      <c r="L37" s="69">
        <f t="shared" si="1"/>
        <v>0.5</v>
      </c>
      <c r="M37" s="39">
        <f ca="1">VLOOKUP(L37,OFFSET(car27,0,6),2)</f>
        <v>11</v>
      </c>
      <c r="N37" s="70">
        <f ca="1">VLOOKUP(L37,OFFSET(car27,0,6),3)</f>
        <v>5</v>
      </c>
      <c r="P37" s="23"/>
      <c r="Q37" s="24"/>
      <c r="R37" s="23"/>
      <c r="S37" s="23"/>
      <c r="T37" s="18"/>
      <c r="U37" s="18"/>
      <c r="V37" s="18"/>
      <c r="W37" s="18"/>
      <c r="X37" s="18"/>
      <c r="Y37" s="17"/>
      <c r="Z37" s="17"/>
      <c r="AA37" s="17"/>
      <c r="AB37" s="17"/>
      <c r="AC37" s="17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ht="12.75">
      <c r="A38" s="38">
        <v>28</v>
      </c>
      <c r="B38" s="44">
        <v>16.8</v>
      </c>
      <c r="C38" s="44">
        <v>5.6</v>
      </c>
      <c r="D38" s="44">
        <v>0.9</v>
      </c>
      <c r="E38" s="44">
        <v>0.4</v>
      </c>
      <c r="F38" s="44">
        <v>0.6</v>
      </c>
      <c r="G38" s="45">
        <v>4</v>
      </c>
      <c r="H38" s="45">
        <v>20</v>
      </c>
      <c r="I38" s="45" t="str">
        <f t="shared" si="0"/>
        <v>N</v>
      </c>
      <c r="J38" s="45">
        <v>15</v>
      </c>
      <c r="K38" s="45" t="s">
        <v>30</v>
      </c>
      <c r="L38" s="69">
        <f t="shared" si="1"/>
        <v>0.5</v>
      </c>
      <c r="M38" s="39">
        <f ca="1">VLOOKUP(L38,OFFSET(car28,0,6),2)</f>
        <v>32</v>
      </c>
      <c r="N38" s="70">
        <f ca="1">VLOOKUP(L38,OFFSET(car28,0,6),3)</f>
        <v>5</v>
      </c>
      <c r="P38" s="23"/>
      <c r="Q38" s="24"/>
      <c r="R38" s="23"/>
      <c r="S38" s="23"/>
      <c r="T38" s="18"/>
      <c r="U38" s="18"/>
      <c r="V38" s="18"/>
      <c r="W38" s="18"/>
      <c r="X38" s="18"/>
      <c r="Y38" s="17"/>
      <c r="Z38" s="17"/>
      <c r="AA38" s="17"/>
      <c r="AB38" s="17"/>
      <c r="AC38" s="17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ht="12.75">
      <c r="A39" s="38">
        <v>29</v>
      </c>
      <c r="B39" s="44">
        <v>17.4</v>
      </c>
      <c r="C39" s="44">
        <v>12.4</v>
      </c>
      <c r="D39" s="44">
        <v>10.4</v>
      </c>
      <c r="E39" s="44">
        <v>0.8</v>
      </c>
      <c r="F39" s="44">
        <v>0.4</v>
      </c>
      <c r="G39" s="45">
        <v>5</v>
      </c>
      <c r="H39" s="45">
        <v>140</v>
      </c>
      <c r="I39" s="45" t="str">
        <f t="shared" si="0"/>
        <v>SE</v>
      </c>
      <c r="J39" s="45">
        <v>20</v>
      </c>
      <c r="K39" s="45" t="s">
        <v>30</v>
      </c>
      <c r="L39" s="69">
        <f t="shared" si="1"/>
        <v>0.5</v>
      </c>
      <c r="M39" s="39">
        <f ca="1">VLOOKUP(L39,OFFSET(car29,0,6),2)</f>
        <v>42</v>
      </c>
      <c r="N39" s="70">
        <f ca="1">VLOOKUP(L39,OFFSET(car29,0,6),3)</f>
        <v>3</v>
      </c>
      <c r="P39" s="23"/>
      <c r="Q39" s="24"/>
      <c r="R39" s="23"/>
      <c r="S39" s="23"/>
      <c r="T39" s="18"/>
      <c r="U39" s="18"/>
      <c r="V39" s="18"/>
      <c r="W39" s="18"/>
      <c r="X39" s="18"/>
      <c r="Y39" s="17"/>
      <c r="Z39" s="17"/>
      <c r="AA39" s="17"/>
      <c r="AB39" s="17"/>
      <c r="AC39" s="17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12.75">
      <c r="A40" s="38">
        <v>30</v>
      </c>
      <c r="B40" s="44">
        <v>19.4</v>
      </c>
      <c r="C40" s="44">
        <v>6.5</v>
      </c>
      <c r="D40" s="44">
        <v>1.1</v>
      </c>
      <c r="E40" s="44">
        <v>5.2</v>
      </c>
      <c r="F40" s="44">
        <v>5.9</v>
      </c>
      <c r="G40" s="45">
        <v>3</v>
      </c>
      <c r="H40" s="45">
        <v>270</v>
      </c>
      <c r="I40" s="45" t="str">
        <f t="shared" si="0"/>
        <v>W</v>
      </c>
      <c r="J40" s="45">
        <v>12</v>
      </c>
      <c r="K40" s="45" t="s">
        <v>30</v>
      </c>
      <c r="L40" s="69">
        <f t="shared" si="1"/>
        <v>0.5</v>
      </c>
      <c r="M40" s="39">
        <f ca="1">VLOOKUP(L40,OFFSET(car30,0,6),2)</f>
        <v>23</v>
      </c>
      <c r="N40" s="70">
        <f ca="1">VLOOKUP(L40,OFFSET(car30,0,6),3)</f>
        <v>3</v>
      </c>
      <c r="P40" s="23"/>
      <c r="Q40" s="24"/>
      <c r="R40" s="23"/>
      <c r="S40" s="23"/>
      <c r="T40" s="18"/>
      <c r="U40" s="18"/>
      <c r="V40" s="18"/>
      <c r="W40" s="18"/>
      <c r="X40" s="18"/>
      <c r="Y40" s="17"/>
      <c r="Z40" s="17"/>
      <c r="AA40" s="17"/>
      <c r="AB40" s="17"/>
      <c r="AC40" s="17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2.75">
      <c r="A41" s="38">
        <v>31</v>
      </c>
      <c r="B41" s="44">
        <v>17.7</v>
      </c>
      <c r="C41" s="44">
        <v>5.5</v>
      </c>
      <c r="D41" s="44">
        <v>1.1</v>
      </c>
      <c r="E41" s="44">
        <v>5</v>
      </c>
      <c r="F41" s="44">
        <v>8.5</v>
      </c>
      <c r="G41" s="45">
        <v>5</v>
      </c>
      <c r="H41" s="45">
        <v>20</v>
      </c>
      <c r="I41" s="45" t="str">
        <f t="shared" si="0"/>
        <v>N</v>
      </c>
      <c r="J41" s="45">
        <v>15</v>
      </c>
      <c r="K41" s="45" t="s">
        <v>30</v>
      </c>
      <c r="L41" s="69">
        <f t="shared" si="1"/>
        <v>0.5</v>
      </c>
      <c r="M41" s="39">
        <f ca="1">VLOOKUP(L41,OFFSET(car31,0,6),2)</f>
        <v>19</v>
      </c>
      <c r="N41" s="70">
        <f ca="1">VLOOKUP(L41,OFFSET(car31,0,6),3)</f>
        <v>3</v>
      </c>
      <c r="P41" s="23"/>
      <c r="Q41" s="24"/>
      <c r="R41" s="23"/>
      <c r="S41" s="23"/>
      <c r="T41" s="18"/>
      <c r="U41" s="18"/>
      <c r="V41" s="18"/>
      <c r="W41" s="18"/>
      <c r="X41" s="18"/>
      <c r="Y41" s="17"/>
      <c r="Z41" s="17"/>
      <c r="AA41" s="17"/>
      <c r="AB41" s="17"/>
      <c r="AC41" s="17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2.75">
      <c r="A42" s="41">
        <v>1</v>
      </c>
      <c r="B42" s="63">
        <v>15.3</v>
      </c>
      <c r="C42" s="63">
        <v>10.9</v>
      </c>
      <c r="D42" s="63">
        <v>10.7</v>
      </c>
      <c r="E42" s="63">
        <v>10.4</v>
      </c>
      <c r="F42" s="63">
        <v>2.1</v>
      </c>
      <c r="G42" s="64">
        <v>3</v>
      </c>
      <c r="H42" s="64">
        <v>30</v>
      </c>
      <c r="I42" s="64" t="str">
        <f aca="true" t="shared" si="2" ref="I42:I71">VLOOKUP(H42,WIND,2)</f>
        <v>NE</v>
      </c>
      <c r="J42" s="64">
        <v>13</v>
      </c>
      <c r="K42" s="64" t="s">
        <v>30</v>
      </c>
      <c r="L42" s="71">
        <f t="shared" si="1"/>
        <v>0.5</v>
      </c>
      <c r="M42" s="60">
        <f ca="1">VLOOKUP(L42,OFFSET(car1j,0,6),2)</f>
        <v>67</v>
      </c>
      <c r="N42" s="72">
        <f ca="1">VLOOKUP(L42,OFFSET(car1j,0,6),3)</f>
        <v>5</v>
      </c>
      <c r="P42" s="23"/>
      <c r="Q42" s="24"/>
      <c r="R42" s="23"/>
      <c r="S42" s="23"/>
      <c r="T42" s="18"/>
      <c r="U42" s="18"/>
      <c r="V42" s="18"/>
      <c r="W42" s="18"/>
      <c r="X42" s="18"/>
      <c r="Y42" s="17"/>
      <c r="Z42" s="17"/>
      <c r="AA42" s="17"/>
      <c r="AB42" s="17"/>
      <c r="AC42" s="17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2.75">
      <c r="A43" s="41">
        <v>2</v>
      </c>
      <c r="B43" s="63">
        <v>19.9</v>
      </c>
      <c r="C43" s="63">
        <v>8.8</v>
      </c>
      <c r="D43" s="63">
        <v>6.7</v>
      </c>
      <c r="E43" s="63">
        <v>4.8</v>
      </c>
      <c r="F43" s="63">
        <v>6.8</v>
      </c>
      <c r="G43" s="64">
        <v>5</v>
      </c>
      <c r="H43" s="64">
        <v>250</v>
      </c>
      <c r="I43" s="64" t="str">
        <f t="shared" si="2"/>
        <v>W</v>
      </c>
      <c r="J43" s="64">
        <v>16</v>
      </c>
      <c r="K43" s="64" t="s">
        <v>30</v>
      </c>
      <c r="L43" s="71">
        <f t="shared" si="1"/>
        <v>0.5</v>
      </c>
      <c r="M43" s="60">
        <f ca="1">VLOOKUP(L43,OFFSET(car2j,0,6),2)</f>
        <v>42</v>
      </c>
      <c r="N43" s="72">
        <f ca="1">VLOOKUP(L43,OFFSET(car2j,0,6),3)</f>
        <v>5</v>
      </c>
      <c r="P43" s="16"/>
      <c r="Q43" s="26"/>
      <c r="R43" s="16"/>
      <c r="S43" s="16"/>
      <c r="T43" s="18"/>
      <c r="U43" s="18"/>
      <c r="V43" s="18"/>
      <c r="W43" s="18"/>
      <c r="X43" s="18"/>
      <c r="Y43" s="17"/>
      <c r="Z43" s="17"/>
      <c r="AA43" s="17"/>
      <c r="AB43" s="17"/>
      <c r="AC43" s="17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2.75">
      <c r="A44" s="41">
        <v>3</v>
      </c>
      <c r="B44" s="63">
        <v>17.4</v>
      </c>
      <c r="C44" s="63">
        <v>10.2</v>
      </c>
      <c r="D44" s="63">
        <v>9.9</v>
      </c>
      <c r="E44" s="63">
        <v>0</v>
      </c>
      <c r="F44" s="63">
        <v>0.2</v>
      </c>
      <c r="G44" s="64">
        <v>9</v>
      </c>
      <c r="H44" s="64">
        <v>230</v>
      </c>
      <c r="I44" s="64" t="str">
        <f t="shared" si="2"/>
        <v>SW</v>
      </c>
      <c r="J44" s="64">
        <v>25</v>
      </c>
      <c r="K44" s="64" t="s">
        <v>30</v>
      </c>
      <c r="L44" s="71">
        <f aca="true" t="shared" si="3" ref="L44:L71">$L$11</f>
        <v>0.5</v>
      </c>
      <c r="M44" s="60">
        <f ca="1">VLOOKUP(L44,OFFSET(car3j,0,6),2)</f>
        <v>27</v>
      </c>
      <c r="N44" s="72">
        <f ca="1">VLOOKUP(L44,OFFSET(car3j,0,6),3)</f>
        <v>0</v>
      </c>
      <c r="P44" s="16"/>
      <c r="Q44" s="16"/>
      <c r="R44" s="16"/>
      <c r="S44" s="16"/>
      <c r="T44" s="18"/>
      <c r="U44" s="18"/>
      <c r="V44" s="18"/>
      <c r="W44" s="18"/>
      <c r="X44" s="18"/>
      <c r="Y44" s="17"/>
      <c r="Z44" s="17"/>
      <c r="AA44" s="17"/>
      <c r="AB44" s="17"/>
      <c r="AC44" s="17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2.75">
      <c r="A45" s="41">
        <v>4</v>
      </c>
      <c r="B45" s="63">
        <v>16.7</v>
      </c>
      <c r="C45" s="63">
        <v>11.5</v>
      </c>
      <c r="D45" s="63">
        <v>9.1</v>
      </c>
      <c r="E45" s="63">
        <v>0</v>
      </c>
      <c r="F45" s="63">
        <v>6</v>
      </c>
      <c r="G45" s="64">
        <v>13</v>
      </c>
      <c r="H45" s="64">
        <v>270</v>
      </c>
      <c r="I45" s="64" t="str">
        <f t="shared" si="2"/>
        <v>W</v>
      </c>
      <c r="J45" s="64">
        <v>31</v>
      </c>
      <c r="K45" s="64" t="s">
        <v>30</v>
      </c>
      <c r="L45" s="71">
        <f t="shared" si="3"/>
        <v>0.5</v>
      </c>
      <c r="M45" s="60">
        <f ca="1">VLOOKUP(L45,OFFSET(car4j,0,6),2)</f>
        <v>34</v>
      </c>
      <c r="N45" s="72">
        <f ca="1">VLOOKUP(L45,OFFSET(car4j,0,6),3)</f>
        <v>0</v>
      </c>
      <c r="P45" s="16"/>
      <c r="Q45" s="16"/>
      <c r="R45" s="16"/>
      <c r="S45" s="16"/>
      <c r="T45" s="18"/>
      <c r="U45" s="18"/>
      <c r="V45" s="18"/>
      <c r="W45" s="18"/>
      <c r="X45" s="18"/>
      <c r="Y45" s="17"/>
      <c r="Z45" s="17"/>
      <c r="AA45" s="17"/>
      <c r="AB45" s="17"/>
      <c r="AC45" s="17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2.75">
      <c r="A46" s="41">
        <v>5</v>
      </c>
      <c r="B46" s="63">
        <v>19.9</v>
      </c>
      <c r="C46" s="63">
        <v>10.1</v>
      </c>
      <c r="D46" s="63">
        <v>7.5</v>
      </c>
      <c r="E46" s="63">
        <v>0</v>
      </c>
      <c r="F46" s="63">
        <v>3</v>
      </c>
      <c r="G46" s="64">
        <v>9</v>
      </c>
      <c r="H46" s="64">
        <v>260</v>
      </c>
      <c r="I46" s="64" t="str">
        <f t="shared" si="2"/>
        <v>W</v>
      </c>
      <c r="J46" s="64">
        <v>22</v>
      </c>
      <c r="K46" s="64" t="s">
        <v>31</v>
      </c>
      <c r="L46" s="71">
        <f t="shared" si="3"/>
        <v>0.5</v>
      </c>
      <c r="M46" s="60">
        <f ca="1">VLOOKUP(L46,OFFSET(car5j,0,6),2)</f>
        <v>23</v>
      </c>
      <c r="N46" s="72">
        <f ca="1">VLOOKUP(L46,OFFSET(car5j,0,6),3)</f>
        <v>0</v>
      </c>
      <c r="P46" s="16"/>
      <c r="Q46" s="16"/>
      <c r="R46" s="16"/>
      <c r="S46" s="16"/>
      <c r="T46" s="18"/>
      <c r="U46" s="18"/>
      <c r="V46" s="18"/>
      <c r="W46" s="18"/>
      <c r="X46" s="18"/>
      <c r="Y46" s="17"/>
      <c r="Z46" s="25"/>
      <c r="AA46" s="25"/>
      <c r="AB46" s="25"/>
      <c r="AC46" s="25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29" ht="12.75">
      <c r="A47" s="41">
        <v>6</v>
      </c>
      <c r="B47" s="63">
        <v>21.1</v>
      </c>
      <c r="C47" s="63">
        <v>13.7</v>
      </c>
      <c r="D47" s="63">
        <v>12.3</v>
      </c>
      <c r="E47" s="63">
        <v>0</v>
      </c>
      <c r="F47" s="63">
        <v>4.6</v>
      </c>
      <c r="G47" s="64">
        <v>9</v>
      </c>
      <c r="H47" s="64">
        <v>230</v>
      </c>
      <c r="I47" s="64" t="str">
        <f t="shared" si="2"/>
        <v>SW</v>
      </c>
      <c r="J47" s="64">
        <v>23</v>
      </c>
      <c r="K47" s="64" t="s">
        <v>30</v>
      </c>
      <c r="L47" s="71">
        <f t="shared" si="3"/>
        <v>0.5</v>
      </c>
      <c r="M47" s="60">
        <f ca="1">VLOOKUP(L47,OFFSET(car6j,0,6),2)</f>
        <v>11</v>
      </c>
      <c r="N47" s="72">
        <f ca="1">VLOOKUP(L47,OFFSET(car6j,0,6),3)</f>
        <v>0</v>
      </c>
      <c r="P47" s="15"/>
      <c r="Q47" s="15"/>
      <c r="R47" s="15"/>
      <c r="S47" s="15"/>
      <c r="T47" s="19"/>
      <c r="U47" s="19"/>
      <c r="V47" s="19"/>
      <c r="W47" s="19"/>
      <c r="X47" s="19"/>
      <c r="Y47" s="20"/>
      <c r="Z47" s="20"/>
      <c r="AA47" s="20"/>
      <c r="AB47" s="20"/>
      <c r="AC47" s="20"/>
    </row>
    <row r="48" spans="1:29" ht="12.75">
      <c r="A48" s="41">
        <v>7</v>
      </c>
      <c r="B48" s="63">
        <v>18</v>
      </c>
      <c r="C48" s="63">
        <v>11.5</v>
      </c>
      <c r="D48" s="63">
        <v>9.8</v>
      </c>
      <c r="E48" s="63">
        <v>0</v>
      </c>
      <c r="F48" s="63">
        <v>2.9</v>
      </c>
      <c r="G48" s="64">
        <v>7</v>
      </c>
      <c r="H48" s="64">
        <v>260</v>
      </c>
      <c r="I48" s="64" t="str">
        <f t="shared" si="2"/>
        <v>W</v>
      </c>
      <c r="J48" s="64">
        <v>21</v>
      </c>
      <c r="K48" s="64" t="s">
        <v>31</v>
      </c>
      <c r="L48" s="71">
        <f t="shared" si="3"/>
        <v>0.5</v>
      </c>
      <c r="M48" s="60">
        <f ca="1">VLOOKUP(L48,OFFSET(car7j,0,6),2)</f>
        <v>48</v>
      </c>
      <c r="N48" s="72">
        <f ca="1">VLOOKUP(L48,OFFSET(car7j,0,6),3)</f>
        <v>3</v>
      </c>
      <c r="P48" s="4"/>
      <c r="Q48" s="4"/>
      <c r="R48" s="4"/>
      <c r="S48" s="4"/>
      <c r="T48" s="7"/>
      <c r="U48" s="7"/>
      <c r="V48" s="7"/>
      <c r="W48" s="7"/>
      <c r="X48" s="7"/>
      <c r="Y48" s="8"/>
      <c r="Z48" s="8"/>
      <c r="AA48" s="8"/>
      <c r="AB48" s="8"/>
      <c r="AC48" s="8"/>
    </row>
    <row r="49" spans="1:20" ht="12.75">
      <c r="A49" s="41">
        <v>8</v>
      </c>
      <c r="B49" s="63">
        <v>18.5</v>
      </c>
      <c r="C49" s="63">
        <v>9.7</v>
      </c>
      <c r="D49" s="63">
        <v>5.3</v>
      </c>
      <c r="E49" s="63">
        <v>0</v>
      </c>
      <c r="F49" s="63">
        <v>0.8</v>
      </c>
      <c r="G49" s="64">
        <v>6</v>
      </c>
      <c r="H49" s="64">
        <v>50</v>
      </c>
      <c r="I49" s="64" t="str">
        <f t="shared" si="2"/>
        <v>NE</v>
      </c>
      <c r="J49" s="64">
        <v>15</v>
      </c>
      <c r="K49" s="64" t="s">
        <v>30</v>
      </c>
      <c r="L49" s="71">
        <f t="shared" si="3"/>
        <v>0.5</v>
      </c>
      <c r="M49" s="60">
        <f ca="1">VLOOKUP(L49,OFFSET(car8j,0,6),2)</f>
        <v>40</v>
      </c>
      <c r="N49" s="72">
        <f ca="1">VLOOKUP(L49,OFFSET(car8j,0,6),3)</f>
        <v>8</v>
      </c>
      <c r="P49" s="2" t="s">
        <v>32</v>
      </c>
      <c r="T49"/>
    </row>
    <row r="50" spans="1:20" ht="12.75">
      <c r="A50" s="41">
        <v>9</v>
      </c>
      <c r="B50" s="63">
        <v>20.9</v>
      </c>
      <c r="C50" s="63">
        <v>12.1</v>
      </c>
      <c r="D50" s="63">
        <v>11.6</v>
      </c>
      <c r="E50" s="63">
        <v>2.6</v>
      </c>
      <c r="F50" s="63">
        <v>7.2</v>
      </c>
      <c r="G50" s="64">
        <v>8</v>
      </c>
      <c r="H50" s="64">
        <v>230</v>
      </c>
      <c r="I50" s="64" t="str">
        <f t="shared" si="2"/>
        <v>SW</v>
      </c>
      <c r="J50" s="64">
        <v>24</v>
      </c>
      <c r="K50" s="64" t="s">
        <v>30</v>
      </c>
      <c r="L50" s="71">
        <f t="shared" si="3"/>
        <v>0.5</v>
      </c>
      <c r="M50" s="60">
        <f ca="1">VLOOKUP(L50,OFFSET(car9j,0,6),2)</f>
        <v>27</v>
      </c>
      <c r="N50" s="72">
        <f ca="1">VLOOKUP(L50,OFFSET(car9j,0,6),3)</f>
        <v>0</v>
      </c>
      <c r="P50" s="2"/>
      <c r="T50"/>
    </row>
    <row r="51" spans="1:20" ht="12.75">
      <c r="A51" s="41">
        <v>10</v>
      </c>
      <c r="B51" s="63">
        <v>20.7</v>
      </c>
      <c r="C51" s="63">
        <v>13.4</v>
      </c>
      <c r="D51" s="63">
        <v>10</v>
      </c>
      <c r="E51" s="63">
        <v>4</v>
      </c>
      <c r="F51" s="63">
        <v>7.9</v>
      </c>
      <c r="G51" s="64">
        <v>11</v>
      </c>
      <c r="H51" s="64">
        <v>220</v>
      </c>
      <c r="I51" s="64" t="str">
        <f t="shared" si="2"/>
        <v>SW</v>
      </c>
      <c r="J51" s="64">
        <v>28</v>
      </c>
      <c r="K51" s="64" t="s">
        <v>30</v>
      </c>
      <c r="L51" s="71">
        <f t="shared" si="3"/>
        <v>0.5</v>
      </c>
      <c r="M51" s="60">
        <f ca="1">VLOOKUP(L51,OFFSET(car10j,0,6),2)</f>
        <v>0</v>
      </c>
      <c r="N51" s="72">
        <f ca="1">VLOOKUP(L51,OFFSET(car10j,0,6),3)</f>
        <v>0</v>
      </c>
      <c r="P51" s="2"/>
      <c r="T51"/>
    </row>
    <row r="52" spans="1:20" ht="12.75">
      <c r="A52" s="41">
        <v>11</v>
      </c>
      <c r="B52" s="63">
        <v>16</v>
      </c>
      <c r="C52" s="63">
        <v>11.4</v>
      </c>
      <c r="D52" s="63">
        <v>8.2</v>
      </c>
      <c r="E52" s="63">
        <v>0.2</v>
      </c>
      <c r="F52" s="63">
        <v>3.1</v>
      </c>
      <c r="G52" s="64">
        <v>13</v>
      </c>
      <c r="H52" s="64">
        <v>270</v>
      </c>
      <c r="I52" s="64" t="str">
        <f t="shared" si="2"/>
        <v>W</v>
      </c>
      <c r="J52" s="64">
        <v>29</v>
      </c>
      <c r="K52" s="64" t="s">
        <v>30</v>
      </c>
      <c r="L52" s="71">
        <f t="shared" si="3"/>
        <v>0.5</v>
      </c>
      <c r="M52" s="60">
        <f ca="1">VLOOKUP(L52,OFFSET(car11j,0,6),2)</f>
        <v>40</v>
      </c>
      <c r="N52" s="72">
        <f ca="1">VLOOKUP(L52,OFFSET(car11j,0,6),3)</f>
        <v>3</v>
      </c>
      <c r="P52" s="2"/>
      <c r="T52"/>
    </row>
    <row r="53" spans="1:20" ht="12.75">
      <c r="A53" s="41">
        <v>12</v>
      </c>
      <c r="B53" s="63">
        <v>21.2</v>
      </c>
      <c r="C53" s="63">
        <v>11.7</v>
      </c>
      <c r="D53" s="63">
        <v>10.5</v>
      </c>
      <c r="E53" s="63">
        <v>0</v>
      </c>
      <c r="F53" s="63">
        <v>5.5</v>
      </c>
      <c r="G53" s="64">
        <v>6</v>
      </c>
      <c r="H53" s="64">
        <v>270</v>
      </c>
      <c r="I53" s="64" t="str">
        <f t="shared" si="2"/>
        <v>W</v>
      </c>
      <c r="J53" s="64">
        <v>16</v>
      </c>
      <c r="K53" s="64" t="s">
        <v>30</v>
      </c>
      <c r="L53" s="71">
        <f t="shared" si="3"/>
        <v>0.5</v>
      </c>
      <c r="M53" s="60">
        <f ca="1">VLOOKUP(L53,OFFSET(car12j,0,6),2)</f>
        <v>15</v>
      </c>
      <c r="N53" s="72">
        <f ca="1">VLOOKUP(L53,OFFSET(car12j,0,6),3)</f>
        <v>0</v>
      </c>
      <c r="P53" s="2"/>
      <c r="T53"/>
    </row>
    <row r="54" spans="1:20" ht="12.75">
      <c r="A54" s="41">
        <v>13</v>
      </c>
      <c r="B54" s="63">
        <v>19.9</v>
      </c>
      <c r="C54" s="63">
        <v>8.1</v>
      </c>
      <c r="D54" s="63">
        <v>2.5</v>
      </c>
      <c r="E54" s="63">
        <v>0</v>
      </c>
      <c r="F54" s="63">
        <v>1.2</v>
      </c>
      <c r="G54" s="64">
        <v>11</v>
      </c>
      <c r="H54" s="64">
        <v>260</v>
      </c>
      <c r="I54" s="64" t="str">
        <f t="shared" si="2"/>
        <v>W</v>
      </c>
      <c r="J54" s="64">
        <v>27</v>
      </c>
      <c r="K54" s="64" t="s">
        <v>31</v>
      </c>
      <c r="L54" s="71">
        <f t="shared" si="3"/>
        <v>0.5</v>
      </c>
      <c r="M54" s="60">
        <f ca="1">VLOOKUP(L54,OFFSET(car13j,0,6),2)</f>
        <v>15</v>
      </c>
      <c r="N54" s="72">
        <f ca="1">VLOOKUP(L54,OFFSET(car13j,0,6),3)</f>
        <v>3</v>
      </c>
      <c r="P54" s="2"/>
      <c r="T54"/>
    </row>
    <row r="55" spans="1:20" ht="12.75">
      <c r="A55" s="41">
        <v>14</v>
      </c>
      <c r="B55" s="63">
        <v>17.8</v>
      </c>
      <c r="C55" s="63">
        <v>13.3</v>
      </c>
      <c r="D55" s="63">
        <v>12.6</v>
      </c>
      <c r="E55" s="63">
        <v>0</v>
      </c>
      <c r="F55" s="63">
        <v>0.8</v>
      </c>
      <c r="G55" s="64">
        <v>16</v>
      </c>
      <c r="H55" s="64">
        <v>250</v>
      </c>
      <c r="I55" s="64" t="str">
        <f t="shared" si="2"/>
        <v>W</v>
      </c>
      <c r="J55" s="64">
        <v>33</v>
      </c>
      <c r="K55" s="64" t="s">
        <v>31</v>
      </c>
      <c r="L55" s="71">
        <f t="shared" si="3"/>
        <v>0.5</v>
      </c>
      <c r="M55" s="60">
        <f ca="1">VLOOKUP(L55,OFFSET(car14j,0,6),2)</f>
        <v>29</v>
      </c>
      <c r="N55" s="72">
        <f ca="1">VLOOKUP(L55,OFFSET(car14j,0,6),3)</f>
        <v>0</v>
      </c>
      <c r="P55" s="2"/>
      <c r="T55"/>
    </row>
    <row r="56" spans="1:20" ht="12.75">
      <c r="A56" s="41">
        <v>15</v>
      </c>
      <c r="B56" s="63">
        <v>19.8</v>
      </c>
      <c r="C56" s="63">
        <v>13.8</v>
      </c>
      <c r="D56" s="63">
        <v>13.3</v>
      </c>
      <c r="E56" s="63">
        <v>0</v>
      </c>
      <c r="F56" s="63">
        <v>6.4</v>
      </c>
      <c r="G56" s="64">
        <v>12</v>
      </c>
      <c r="H56" s="64">
        <v>270</v>
      </c>
      <c r="I56" s="64" t="str">
        <f t="shared" si="2"/>
        <v>W</v>
      </c>
      <c r="J56" s="64">
        <v>34</v>
      </c>
      <c r="K56" s="64" t="s">
        <v>31</v>
      </c>
      <c r="L56" s="71">
        <f t="shared" si="3"/>
        <v>0.5</v>
      </c>
      <c r="M56" s="60">
        <f ca="1">VLOOKUP(L56,OFFSET(car15j,0,6),2)</f>
        <v>29</v>
      </c>
      <c r="N56" s="72">
        <f ca="1">VLOOKUP(L56,OFFSET(car15j,0,6),3)</f>
        <v>3</v>
      </c>
      <c r="P56" s="2"/>
      <c r="T56"/>
    </row>
    <row r="57" spans="1:20" ht="12.75">
      <c r="A57" s="41">
        <v>16</v>
      </c>
      <c r="B57" s="63">
        <v>17.1</v>
      </c>
      <c r="C57" s="63">
        <v>11.4</v>
      </c>
      <c r="D57" s="63">
        <v>9.1</v>
      </c>
      <c r="E57" s="63">
        <v>1.4</v>
      </c>
      <c r="F57" s="63">
        <v>0.8</v>
      </c>
      <c r="G57" s="64">
        <v>7</v>
      </c>
      <c r="H57" s="64">
        <v>240</v>
      </c>
      <c r="I57" s="64" t="str">
        <f t="shared" si="2"/>
        <v>SW</v>
      </c>
      <c r="J57" s="64">
        <v>23</v>
      </c>
      <c r="K57" s="64" t="s">
        <v>30</v>
      </c>
      <c r="L57" s="71">
        <f t="shared" si="3"/>
        <v>0.5</v>
      </c>
      <c r="M57" s="60">
        <f ca="1">VLOOKUP(L57,OFFSET(car16j,0,6),2)</f>
        <v>34</v>
      </c>
      <c r="N57" s="72">
        <f ca="1">VLOOKUP(L57,OFFSET(car16j,0,6),3)</f>
        <v>0</v>
      </c>
      <c r="P57" s="2"/>
      <c r="T57"/>
    </row>
    <row r="58" spans="1:20" ht="12.75">
      <c r="A58" s="41">
        <v>17</v>
      </c>
      <c r="B58" s="63">
        <v>17.6</v>
      </c>
      <c r="C58" s="63">
        <v>11</v>
      </c>
      <c r="D58" s="63">
        <v>10</v>
      </c>
      <c r="E58" s="63">
        <v>8.4</v>
      </c>
      <c r="F58" s="63">
        <v>0.7</v>
      </c>
      <c r="G58" s="64">
        <v>8</v>
      </c>
      <c r="H58" s="64">
        <v>270</v>
      </c>
      <c r="I58" s="64" t="str">
        <f t="shared" si="2"/>
        <v>W</v>
      </c>
      <c r="J58" s="64">
        <v>20</v>
      </c>
      <c r="K58" s="64" t="s">
        <v>31</v>
      </c>
      <c r="L58" s="71">
        <f t="shared" si="3"/>
        <v>0.5</v>
      </c>
      <c r="M58" s="60">
        <f ca="1">VLOOKUP(L58,OFFSET(car17j,0,6),2)</f>
        <v>42</v>
      </c>
      <c r="N58" s="72">
        <f ca="1">VLOOKUP(L58,OFFSET(car17j,0,6),3)</f>
        <v>11</v>
      </c>
      <c r="P58" s="2"/>
      <c r="T58"/>
    </row>
    <row r="59" spans="1:20" ht="12.75">
      <c r="A59" s="41">
        <v>18</v>
      </c>
      <c r="B59" s="63">
        <v>14.6</v>
      </c>
      <c r="C59" s="63">
        <v>8.4</v>
      </c>
      <c r="D59" s="63">
        <v>8.1</v>
      </c>
      <c r="E59" s="63">
        <v>2.6</v>
      </c>
      <c r="F59" s="63">
        <v>5.1</v>
      </c>
      <c r="G59" s="64">
        <v>5</v>
      </c>
      <c r="H59" s="64">
        <v>360</v>
      </c>
      <c r="I59" s="64" t="str">
        <f t="shared" si="2"/>
        <v>N</v>
      </c>
      <c r="J59" s="64">
        <v>18</v>
      </c>
      <c r="K59" s="64" t="s">
        <v>30</v>
      </c>
      <c r="L59" s="71">
        <f t="shared" si="3"/>
        <v>0.5</v>
      </c>
      <c r="M59" s="60">
        <f ca="1">VLOOKUP(L59,OFFSET(car18j,0,6),2)</f>
        <v>31</v>
      </c>
      <c r="N59" s="72">
        <f ca="1">VLOOKUP(L59,OFFSET(car18j,0,6),3)</f>
        <v>3</v>
      </c>
      <c r="P59" s="2"/>
      <c r="T59"/>
    </row>
    <row r="60" spans="1:20" ht="12.75">
      <c r="A60" s="41">
        <v>19</v>
      </c>
      <c r="B60" s="63">
        <v>11.3</v>
      </c>
      <c r="C60" s="63">
        <v>6.8</v>
      </c>
      <c r="D60" s="63">
        <v>3.9</v>
      </c>
      <c r="E60" s="63">
        <v>4.4</v>
      </c>
      <c r="F60" s="63">
        <v>0</v>
      </c>
      <c r="G60" s="64">
        <v>6</v>
      </c>
      <c r="H60" s="64">
        <v>270</v>
      </c>
      <c r="I60" s="64" t="str">
        <f t="shared" si="2"/>
        <v>W</v>
      </c>
      <c r="J60" s="64">
        <v>23</v>
      </c>
      <c r="K60" s="64" t="s">
        <v>30</v>
      </c>
      <c r="L60" s="71">
        <f t="shared" si="3"/>
        <v>0.5</v>
      </c>
      <c r="M60" s="60">
        <f ca="1">VLOOKUP(L60,OFFSET(car19j,0,6),2)</f>
        <v>52</v>
      </c>
      <c r="N60" s="72">
        <f ca="1">VLOOKUP(L60,OFFSET(car19j,0,6),3)</f>
        <v>3</v>
      </c>
      <c r="P60" s="2"/>
      <c r="T60"/>
    </row>
    <row r="61" spans="1:20" ht="12.75">
      <c r="A61" s="41">
        <v>20</v>
      </c>
      <c r="B61" s="63">
        <v>15.9</v>
      </c>
      <c r="C61" s="63">
        <v>7.3</v>
      </c>
      <c r="D61" s="63">
        <v>6.1</v>
      </c>
      <c r="E61" s="63">
        <v>0</v>
      </c>
      <c r="F61" s="63">
        <v>3</v>
      </c>
      <c r="G61" s="64">
        <v>4</v>
      </c>
      <c r="H61" s="64">
        <v>310</v>
      </c>
      <c r="I61" s="64" t="str">
        <f t="shared" si="2"/>
        <v>NW</v>
      </c>
      <c r="J61" s="64">
        <v>15</v>
      </c>
      <c r="K61" s="64" t="s">
        <v>31</v>
      </c>
      <c r="L61" s="71">
        <f t="shared" si="3"/>
        <v>0.5</v>
      </c>
      <c r="M61" s="60">
        <f ca="1">VLOOKUP(L61,OFFSET(car20j,0,6),2)</f>
        <v>15</v>
      </c>
      <c r="N61" s="72">
        <f ca="1">VLOOKUP(L61,OFFSET(car20j,0,6),3)</f>
        <v>3</v>
      </c>
      <c r="P61" s="2"/>
      <c r="T61"/>
    </row>
    <row r="62" spans="1:20" ht="12.75">
      <c r="A62" s="41">
        <v>21</v>
      </c>
      <c r="B62" s="63">
        <v>17.5</v>
      </c>
      <c r="C62" s="63">
        <v>7.6</v>
      </c>
      <c r="D62" s="63">
        <v>3.2</v>
      </c>
      <c r="E62" s="63">
        <v>0.4</v>
      </c>
      <c r="F62" s="63">
        <v>5.1</v>
      </c>
      <c r="G62" s="64">
        <v>3</v>
      </c>
      <c r="H62" s="64">
        <v>360</v>
      </c>
      <c r="I62" s="64" t="str">
        <f t="shared" si="2"/>
        <v>N</v>
      </c>
      <c r="J62" s="64">
        <v>11</v>
      </c>
      <c r="K62" s="64" t="s">
        <v>31</v>
      </c>
      <c r="L62" s="71">
        <f t="shared" si="3"/>
        <v>0.5</v>
      </c>
      <c r="M62" s="60">
        <f ca="1">VLOOKUP(L62,OFFSET(car21j,0,6),2)</f>
        <v>25</v>
      </c>
      <c r="N62" s="72">
        <f ca="1">VLOOKUP(L62,OFFSET(car21j,0,6),3)</f>
        <v>3</v>
      </c>
      <c r="P62" s="2"/>
      <c r="T62"/>
    </row>
    <row r="63" spans="1:20" ht="12.75">
      <c r="A63" s="41">
        <v>22</v>
      </c>
      <c r="B63" s="63">
        <v>18.3</v>
      </c>
      <c r="C63" s="63">
        <v>4.8</v>
      </c>
      <c r="D63" s="63">
        <v>-0.4</v>
      </c>
      <c r="E63" s="63">
        <v>11</v>
      </c>
      <c r="F63" s="63">
        <v>8</v>
      </c>
      <c r="G63" s="64">
        <v>5</v>
      </c>
      <c r="H63" s="64">
        <v>250</v>
      </c>
      <c r="I63" s="64" t="str">
        <f t="shared" si="2"/>
        <v>W</v>
      </c>
      <c r="J63" s="64">
        <v>19</v>
      </c>
      <c r="K63" s="64" t="s">
        <v>31</v>
      </c>
      <c r="L63" s="71">
        <f t="shared" si="3"/>
        <v>0.5</v>
      </c>
      <c r="M63" s="60">
        <f ca="1">VLOOKUP(L63,OFFSET(car22j,0,6),2)</f>
        <v>29</v>
      </c>
      <c r="N63" s="72">
        <f ca="1">VLOOKUP(L63,OFFSET(car22j,0,6),3)</f>
        <v>3</v>
      </c>
      <c r="P63" s="2"/>
      <c r="T63"/>
    </row>
    <row r="64" spans="1:20" ht="12.75">
      <c r="A64" s="41">
        <v>23</v>
      </c>
      <c r="B64" s="63">
        <v>11.6</v>
      </c>
      <c r="C64" s="63">
        <v>11.5</v>
      </c>
      <c r="D64" s="63">
        <v>10.8</v>
      </c>
      <c r="E64" s="63" t="s">
        <v>33</v>
      </c>
      <c r="F64" s="63" t="s">
        <v>33</v>
      </c>
      <c r="G64" s="64" t="s">
        <v>33</v>
      </c>
      <c r="H64" s="64">
        <v>50</v>
      </c>
      <c r="I64" s="64" t="str">
        <f t="shared" si="2"/>
        <v>NE</v>
      </c>
      <c r="J64" s="64" t="s">
        <v>33</v>
      </c>
      <c r="K64" s="64" t="s">
        <v>30</v>
      </c>
      <c r="L64" s="71">
        <f t="shared" si="3"/>
        <v>0.5</v>
      </c>
      <c r="M64" s="60">
        <f ca="1">VLOOKUP(L64,OFFSET(car23j,0,6),2)</f>
        <v>17</v>
      </c>
      <c r="N64" s="72">
        <f ca="1">VLOOKUP(L64,OFFSET(car23j,0,6),3)</f>
        <v>0</v>
      </c>
      <c r="P64" s="2"/>
      <c r="T64"/>
    </row>
    <row r="65" spans="1:20" ht="12.75">
      <c r="A65" s="41">
        <v>24</v>
      </c>
      <c r="B65" s="63">
        <v>13.9</v>
      </c>
      <c r="C65" s="63">
        <v>8.5</v>
      </c>
      <c r="D65" s="63">
        <v>8.1</v>
      </c>
      <c r="E65" s="63">
        <v>9.8</v>
      </c>
      <c r="F65" s="63" t="s">
        <v>33</v>
      </c>
      <c r="G65" s="64" t="s">
        <v>33</v>
      </c>
      <c r="H65" s="64" t="s">
        <v>33</v>
      </c>
      <c r="I65" s="64" t="s">
        <v>33</v>
      </c>
      <c r="J65" s="64" t="s">
        <v>33</v>
      </c>
      <c r="K65" s="64" t="s">
        <v>30</v>
      </c>
      <c r="L65" s="71">
        <f t="shared" si="3"/>
        <v>0.5</v>
      </c>
      <c r="M65" s="60">
        <f ca="1">VLOOKUP(L65,OFFSET(car24j,0,6),2)</f>
        <v>71</v>
      </c>
      <c r="N65" s="72">
        <f ca="1">VLOOKUP(L65,OFFSET(car24j,0,6),3)</f>
        <v>11</v>
      </c>
      <c r="P65" s="2"/>
      <c r="T65"/>
    </row>
    <row r="66" spans="1:20" ht="12.75">
      <c r="A66" s="41">
        <v>25</v>
      </c>
      <c r="B66" s="63">
        <v>18.6</v>
      </c>
      <c r="C66" s="63">
        <v>7.8</v>
      </c>
      <c r="D66" s="63">
        <v>5.9</v>
      </c>
      <c r="E66" s="63">
        <v>0</v>
      </c>
      <c r="F66" s="63">
        <v>9.4</v>
      </c>
      <c r="G66" s="64">
        <v>4</v>
      </c>
      <c r="H66" s="64" t="s">
        <v>33</v>
      </c>
      <c r="I66" s="64" t="s">
        <v>33</v>
      </c>
      <c r="J66" s="64" t="s">
        <v>33</v>
      </c>
      <c r="K66" s="64" t="s">
        <v>31</v>
      </c>
      <c r="L66" s="71">
        <f t="shared" si="3"/>
        <v>0.5</v>
      </c>
      <c r="M66" s="60">
        <f ca="1">VLOOKUP(L66,OFFSET(car25j,0,6),2)</f>
        <v>31</v>
      </c>
      <c r="N66" s="72">
        <f ca="1">VLOOKUP(L66,OFFSET(car25j,0,6),3)</f>
        <v>11</v>
      </c>
      <c r="P66" s="2"/>
      <c r="T66"/>
    </row>
    <row r="67" spans="1:20" ht="12.75">
      <c r="A67" s="41">
        <v>26</v>
      </c>
      <c r="B67" s="63">
        <v>16.5</v>
      </c>
      <c r="C67" s="63">
        <v>6.2</v>
      </c>
      <c r="D67" s="63">
        <v>1.6</v>
      </c>
      <c r="E67" s="63">
        <v>8</v>
      </c>
      <c r="F67" s="63">
        <v>1.7</v>
      </c>
      <c r="G67" s="64">
        <v>5</v>
      </c>
      <c r="H67" s="64">
        <v>90</v>
      </c>
      <c r="I67" s="64" t="str">
        <f t="shared" si="2"/>
        <v>E</v>
      </c>
      <c r="J67" s="64">
        <v>19</v>
      </c>
      <c r="K67" s="64" t="s">
        <v>30</v>
      </c>
      <c r="L67" s="71">
        <f t="shared" si="3"/>
        <v>0.5</v>
      </c>
      <c r="M67" s="60">
        <f ca="1">VLOOKUP(L67,OFFSET(car26j,0,6),2)</f>
        <v>23</v>
      </c>
      <c r="N67" s="72">
        <f ca="1">VLOOKUP(L67,OFFSET(car26j,0,6),3)</f>
        <v>3</v>
      </c>
      <c r="P67" s="2"/>
      <c r="T67"/>
    </row>
    <row r="68" spans="1:20" ht="12.75">
      <c r="A68" s="41">
        <v>27</v>
      </c>
      <c r="B68" s="63">
        <v>19.5</v>
      </c>
      <c r="C68" s="63">
        <v>11.9</v>
      </c>
      <c r="D68" s="63">
        <v>7.5</v>
      </c>
      <c r="E68" s="63">
        <v>3.6</v>
      </c>
      <c r="F68" s="63">
        <v>2.4</v>
      </c>
      <c r="G68" s="64">
        <v>8</v>
      </c>
      <c r="H68" s="64">
        <v>250</v>
      </c>
      <c r="I68" s="64" t="str">
        <f t="shared" si="2"/>
        <v>W</v>
      </c>
      <c r="J68" s="64">
        <v>27</v>
      </c>
      <c r="K68" s="64" t="s">
        <v>30</v>
      </c>
      <c r="L68" s="71">
        <f t="shared" si="3"/>
        <v>0.5</v>
      </c>
      <c r="M68" s="60">
        <f ca="1">VLOOKUP(L68,OFFSET(car27j,0,6),2)</f>
        <v>2</v>
      </c>
      <c r="N68" s="72">
        <f ca="1">VLOOKUP(L68,OFFSET(car27j,0,6),3)</f>
        <v>0</v>
      </c>
      <c r="P68" s="2"/>
      <c r="T68"/>
    </row>
    <row r="69" spans="1:20" ht="12.75">
      <c r="A69" s="41">
        <v>28</v>
      </c>
      <c r="B69" s="63">
        <v>17.8</v>
      </c>
      <c r="C69" s="63">
        <v>8.5</v>
      </c>
      <c r="D69" s="63">
        <v>6.4</v>
      </c>
      <c r="E69" s="63">
        <v>0.4</v>
      </c>
      <c r="F69" s="63">
        <v>7.4</v>
      </c>
      <c r="G69" s="64">
        <v>10</v>
      </c>
      <c r="H69" s="64">
        <v>250</v>
      </c>
      <c r="I69" s="64" t="str">
        <f t="shared" si="2"/>
        <v>W</v>
      </c>
      <c r="J69" s="64">
        <v>25</v>
      </c>
      <c r="K69" s="64" t="s">
        <v>30</v>
      </c>
      <c r="L69" s="71">
        <f t="shared" si="3"/>
        <v>0.5</v>
      </c>
      <c r="M69" s="60">
        <f ca="1">VLOOKUP(L69,OFFSET(car28j,0,6),2)</f>
        <v>21</v>
      </c>
      <c r="N69" s="72">
        <f ca="1">VLOOKUP(L69,OFFSET(car28j,0,6),3)</f>
        <v>0</v>
      </c>
      <c r="P69" s="2"/>
      <c r="T69"/>
    </row>
    <row r="70" spans="1:20" ht="12.75">
      <c r="A70" s="41">
        <v>29</v>
      </c>
      <c r="B70" s="63">
        <v>16.8</v>
      </c>
      <c r="C70" s="63">
        <v>9.9</v>
      </c>
      <c r="D70" s="63">
        <v>7.8</v>
      </c>
      <c r="E70" s="63">
        <v>3</v>
      </c>
      <c r="F70" s="63">
        <v>0.8</v>
      </c>
      <c r="G70" s="64">
        <v>8</v>
      </c>
      <c r="H70" s="64">
        <v>250</v>
      </c>
      <c r="I70" s="64" t="str">
        <f t="shared" si="2"/>
        <v>W</v>
      </c>
      <c r="J70" s="64">
        <v>24</v>
      </c>
      <c r="K70" s="64" t="s">
        <v>30</v>
      </c>
      <c r="L70" s="71">
        <f t="shared" si="3"/>
        <v>0.5</v>
      </c>
      <c r="M70" s="60">
        <f ca="1">VLOOKUP(L70,OFFSET(car29j,0,6),2)</f>
        <v>23</v>
      </c>
      <c r="N70" s="72">
        <f ca="1">VLOOKUP(L70,OFFSET(car29j,0,6),3)</f>
        <v>3</v>
      </c>
      <c r="P70" s="2"/>
      <c r="T70"/>
    </row>
    <row r="71" spans="1:20" ht="13.5" thickBot="1">
      <c r="A71" s="46">
        <v>30</v>
      </c>
      <c r="B71" s="65">
        <v>17.3</v>
      </c>
      <c r="C71" s="65">
        <v>13.8</v>
      </c>
      <c r="D71" s="65">
        <v>12.7</v>
      </c>
      <c r="E71" s="65">
        <v>6.4</v>
      </c>
      <c r="F71" s="65">
        <v>4.6</v>
      </c>
      <c r="G71" s="66">
        <v>11</v>
      </c>
      <c r="H71" s="66">
        <v>200</v>
      </c>
      <c r="I71" s="66" t="str">
        <f t="shared" si="2"/>
        <v>S</v>
      </c>
      <c r="J71" s="66">
        <v>29</v>
      </c>
      <c r="K71" s="66" t="s">
        <v>31</v>
      </c>
      <c r="L71" s="73">
        <f t="shared" si="3"/>
        <v>0.5</v>
      </c>
      <c r="M71" s="62">
        <f ca="1">VLOOKUP(L71,OFFSET(car30j,0,6),2)</f>
        <v>19</v>
      </c>
      <c r="N71" s="74">
        <f ca="1">VLOOKUP(L71,OFFSET(car30j,0,6),3)</f>
        <v>3</v>
      </c>
      <c r="P71" s="2"/>
      <c r="T71"/>
    </row>
    <row r="72" spans="1:30" ht="13.5" thickTop="1">
      <c r="A72" s="47"/>
      <c r="B72" s="48"/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</row>
    <row r="73" spans="1:15" ht="12.75">
      <c r="A73" s="93" t="s">
        <v>56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s="2" customFormat="1" ht="12.75">
      <c r="A74" s="11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</row>
    <row r="75" spans="1:15" ht="12.75">
      <c r="A75" s="11"/>
      <c r="B75" s="6"/>
      <c r="C75" s="6"/>
      <c r="D75" s="6"/>
      <c r="E75" s="6"/>
      <c r="F75" s="6"/>
      <c r="G75" s="6"/>
      <c r="H75" s="5"/>
      <c r="I75" s="43"/>
      <c r="J75" s="43"/>
      <c r="K75" s="5"/>
      <c r="L75" s="5"/>
      <c r="M75" s="5"/>
      <c r="N75" s="5"/>
      <c r="O75" s="5"/>
    </row>
    <row r="76" spans="1:15" ht="12.75">
      <c r="A76" s="11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</row>
    <row r="77" spans="1:15" ht="12.75">
      <c r="A77" s="11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</row>
    <row r="78" spans="1:15" ht="12.75">
      <c r="A78" s="11"/>
      <c r="B78" s="6"/>
      <c r="C78" s="6"/>
      <c r="D78" s="6"/>
      <c r="E78" s="6"/>
      <c r="F78" s="6"/>
      <c r="G78" s="6"/>
      <c r="H78" s="5"/>
      <c r="I78" s="43"/>
      <c r="J78" s="43"/>
      <c r="K78" s="43"/>
      <c r="L78" s="43"/>
      <c r="M78" s="43"/>
      <c r="N78" s="43"/>
      <c r="O78" s="43"/>
    </row>
  </sheetData>
  <mergeCells count="2">
    <mergeCell ref="Q72:AD72"/>
    <mergeCell ref="A73:O73"/>
  </mergeCells>
  <printOptions/>
  <pageMargins left="0.75" right="0.75" top="1" bottom="1" header="0.5" footer="0.5"/>
  <pageSetup orientation="portrait" paperSize="9" r:id="rId1"/>
  <headerFooter alignWithMargins="0">
    <oddHeader>&amp;LBEYOND FAIR TESTING&amp;C&amp;"Arial,Bold"&amp;12AIR POLLUTION&amp;RENQUIRY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1">
      <selection activeCell="M1" sqref="M1"/>
    </sheetView>
  </sheetViews>
  <sheetFormatPr defaultColWidth="9.140625" defaultRowHeight="12.75"/>
  <cols>
    <col min="1" max="1" width="8.7109375" style="27" customWidth="1"/>
    <col min="2" max="2" width="8.8515625" style="27" customWidth="1"/>
    <col min="3" max="4" width="9.140625" style="27" customWidth="1"/>
    <col min="5" max="5" width="9.57421875" style="27" customWidth="1"/>
    <col min="6" max="6" width="9.140625" style="27" customWidth="1"/>
    <col min="7" max="7" width="8.28125" style="27" customWidth="1"/>
    <col min="8" max="8" width="11.57421875" style="27" customWidth="1"/>
    <col min="9" max="9" width="11.421875" style="27" customWidth="1"/>
    <col min="10" max="10" width="10.421875" style="27" customWidth="1"/>
    <col min="11" max="12" width="10.140625" style="27" customWidth="1"/>
    <col min="13" max="14" width="11.140625" style="27" customWidth="1"/>
    <col min="15" max="15" width="10.140625" style="27" customWidth="1"/>
    <col min="16" max="16" width="11.28125" style="27" customWidth="1"/>
    <col min="17" max="17" width="16.140625" style="27" customWidth="1"/>
    <col min="18" max="18" width="10.7109375" style="27" customWidth="1"/>
    <col min="19" max="19" width="9.8515625" style="27" customWidth="1"/>
    <col min="20" max="20" width="10.57421875" style="27" customWidth="1"/>
    <col min="21" max="21" width="9.140625" style="27" customWidth="1"/>
    <col min="22" max="22" width="9.57421875" style="27" customWidth="1"/>
    <col min="23" max="23" width="9.140625" style="27" customWidth="1"/>
    <col min="24" max="24" width="11.28125" style="27" customWidth="1"/>
    <col min="25" max="25" width="12.7109375" style="27" customWidth="1"/>
    <col min="26" max="26" width="16.57421875" style="27" customWidth="1"/>
    <col min="27" max="27" width="9.28125" style="27" customWidth="1"/>
    <col min="28" max="29" width="10.140625" style="27" customWidth="1"/>
    <col min="30" max="16384" width="9.140625" style="27" customWidth="1"/>
  </cols>
  <sheetData>
    <row r="1" spans="1:13" ht="12.75">
      <c r="A1" s="27" t="s">
        <v>90</v>
      </c>
      <c r="M1" s="22" t="s">
        <v>94</v>
      </c>
    </row>
    <row r="2" ht="12.75">
      <c r="A2" s="27" t="s">
        <v>57</v>
      </c>
    </row>
    <row r="3" ht="12.75">
      <c r="A3" s="27" t="s">
        <v>11</v>
      </c>
    </row>
    <row r="6" spans="1:29" ht="12.75">
      <c r="A6" s="52" t="s">
        <v>58</v>
      </c>
      <c r="E6" s="27" t="s">
        <v>13</v>
      </c>
      <c r="F6" s="27" t="s">
        <v>59</v>
      </c>
      <c r="G6" s="27" t="s">
        <v>15</v>
      </c>
      <c r="H6" s="27" t="s">
        <v>60</v>
      </c>
      <c r="I6" s="27" t="s">
        <v>17</v>
      </c>
      <c r="J6" s="27" t="s">
        <v>61</v>
      </c>
      <c r="P6" s="28"/>
      <c r="Q6" s="28"/>
      <c r="R6" s="28"/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6:29" ht="12.75"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30"/>
      <c r="B8" s="30"/>
      <c r="C8" s="30" t="s">
        <v>19</v>
      </c>
      <c r="D8" s="30"/>
      <c r="F8" s="11" t="s">
        <v>78</v>
      </c>
      <c r="P8" s="31"/>
      <c r="Q8" s="31"/>
      <c r="R8" s="31"/>
      <c r="S8" s="31"/>
      <c r="T8" s="31"/>
      <c r="U8" s="31"/>
      <c r="V8" s="31"/>
      <c r="W8" s="31"/>
      <c r="X8" s="29"/>
      <c r="Y8" s="29"/>
      <c r="Z8" s="29"/>
      <c r="AA8" s="29"/>
      <c r="AB8" s="29"/>
      <c r="AC8" s="29"/>
    </row>
    <row r="9" spans="2:29" ht="13.5" thickBot="1">
      <c r="B9" s="32"/>
      <c r="P9" s="29"/>
      <c r="Q9" s="29"/>
      <c r="R9" s="29"/>
      <c r="S9" s="29"/>
      <c r="T9" s="23"/>
      <c r="U9" s="29"/>
      <c r="V9" s="29"/>
      <c r="W9" s="29"/>
      <c r="X9" s="29"/>
      <c r="Y9" s="29"/>
      <c r="Z9" s="29"/>
      <c r="AA9" s="29"/>
      <c r="AB9" s="29"/>
      <c r="AC9" s="29"/>
    </row>
    <row r="10" spans="1:28" ht="39" customHeight="1" thickTop="1">
      <c r="A10" s="50" t="s">
        <v>20</v>
      </c>
      <c r="B10" s="51" t="s">
        <v>79</v>
      </c>
      <c r="C10" s="51" t="s">
        <v>80</v>
      </c>
      <c r="D10" s="51" t="s">
        <v>89</v>
      </c>
      <c r="E10" s="51" t="s">
        <v>81</v>
      </c>
      <c r="F10" s="51" t="s">
        <v>82</v>
      </c>
      <c r="G10" s="51" t="s">
        <v>83</v>
      </c>
      <c r="H10" s="51" t="s">
        <v>84</v>
      </c>
      <c r="I10" s="51" t="s">
        <v>85</v>
      </c>
      <c r="J10" s="51" t="s">
        <v>86</v>
      </c>
      <c r="K10" s="51" t="s">
        <v>87</v>
      </c>
      <c r="L10" s="51" t="s">
        <v>88</v>
      </c>
      <c r="M10" s="51" t="s">
        <v>92</v>
      </c>
      <c r="N10" s="77" t="s">
        <v>93</v>
      </c>
      <c r="P10" s="9" t="s">
        <v>34</v>
      </c>
      <c r="Q10" s="9"/>
      <c r="R10" s="9"/>
      <c r="S10" s="9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2.75">
      <c r="A11" s="38">
        <v>1</v>
      </c>
      <c r="B11" s="40">
        <v>13.3</v>
      </c>
      <c r="C11" s="40">
        <v>9.1</v>
      </c>
      <c r="D11" s="40">
        <v>8.7</v>
      </c>
      <c r="E11" s="40">
        <v>0</v>
      </c>
      <c r="F11" s="40">
        <v>0</v>
      </c>
      <c r="G11" s="39">
        <v>4</v>
      </c>
      <c r="H11" s="39">
        <v>10</v>
      </c>
      <c r="I11" s="39" t="str">
        <f aca="true" t="shared" si="0" ref="I11:I41">VLOOKUP(H11,WIND,2)</f>
        <v>N</v>
      </c>
      <c r="J11" s="39">
        <v>12</v>
      </c>
      <c r="K11" s="39" t="s">
        <v>30</v>
      </c>
      <c r="L11" s="69">
        <v>0.5</v>
      </c>
      <c r="M11" s="39">
        <f ca="1">VLOOKUP(L11,OFFSET(car1,0,12),2)</f>
        <v>25</v>
      </c>
      <c r="N11" s="70">
        <f ca="1">VLOOKUP(L11,OFFSET(car1,0,12),3)</f>
        <v>0</v>
      </c>
      <c r="P11" s="2"/>
      <c r="Q11" s="2"/>
      <c r="R11" s="2"/>
      <c r="S11" s="2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2.75">
      <c r="A12" s="38">
        <v>2</v>
      </c>
      <c r="B12" s="40">
        <v>19</v>
      </c>
      <c r="C12" s="40">
        <v>6.6</v>
      </c>
      <c r="D12" s="40">
        <v>2</v>
      </c>
      <c r="E12" s="40">
        <v>0.8</v>
      </c>
      <c r="F12" s="40">
        <v>9.6</v>
      </c>
      <c r="G12" s="39">
        <v>5</v>
      </c>
      <c r="H12" s="39">
        <v>250</v>
      </c>
      <c r="I12" s="39" t="str">
        <f t="shared" si="0"/>
        <v>W</v>
      </c>
      <c r="J12" s="39">
        <v>16</v>
      </c>
      <c r="K12" s="39" t="s">
        <v>30</v>
      </c>
      <c r="L12" s="69">
        <f aca="true" t="shared" si="1" ref="L12:L43">$L$11</f>
        <v>0.5</v>
      </c>
      <c r="M12" s="39">
        <f ca="1">VLOOKUP(L12,OFFSET(car2,0,12),2)</f>
        <v>25</v>
      </c>
      <c r="N12" s="70">
        <f ca="1">VLOOKUP(L12,OFFSET(car2,0,12),3)</f>
        <v>0</v>
      </c>
      <c r="P12" s="2" t="s">
        <v>21</v>
      </c>
      <c r="Q12" t="s">
        <v>35</v>
      </c>
      <c r="R12" s="2"/>
      <c r="S12" s="2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12.75">
      <c r="A13" s="38">
        <v>3</v>
      </c>
      <c r="B13" s="40">
        <v>13.5</v>
      </c>
      <c r="C13" s="40">
        <v>9.3</v>
      </c>
      <c r="D13" s="40">
        <v>5.5</v>
      </c>
      <c r="E13" s="40">
        <v>10</v>
      </c>
      <c r="F13" s="40">
        <v>3</v>
      </c>
      <c r="G13" s="39">
        <v>5</v>
      </c>
      <c r="H13" s="39">
        <v>230</v>
      </c>
      <c r="I13" s="39" t="str">
        <f t="shared" si="0"/>
        <v>SW</v>
      </c>
      <c r="J13" s="39">
        <v>21</v>
      </c>
      <c r="K13" s="39" t="s">
        <v>30</v>
      </c>
      <c r="L13" s="69">
        <f t="shared" si="1"/>
        <v>0.5</v>
      </c>
      <c r="M13" s="39">
        <f ca="1">VLOOKUP(L13,OFFSET(car3,0,12),2)</f>
        <v>13</v>
      </c>
      <c r="N13" s="70">
        <f ca="1">VLOOKUP(L13,OFFSET(car3,0,12),3)</f>
        <v>0</v>
      </c>
      <c r="P13" s="2" t="s">
        <v>22</v>
      </c>
      <c r="Q13" t="s">
        <v>36</v>
      </c>
      <c r="R13" s="2"/>
      <c r="S13" s="2"/>
      <c r="T13" s="35"/>
      <c r="U13" s="35"/>
      <c r="V13" s="35"/>
      <c r="W13" s="35"/>
      <c r="X13" s="23"/>
      <c r="Y13" s="23"/>
      <c r="Z13" s="23"/>
      <c r="AA13" s="23"/>
      <c r="AB13" s="23"/>
    </row>
    <row r="14" spans="1:28" ht="12.75">
      <c r="A14" s="38">
        <v>4</v>
      </c>
      <c r="B14" s="40">
        <v>11.6</v>
      </c>
      <c r="C14" s="40">
        <v>7</v>
      </c>
      <c r="D14" s="40">
        <v>5.1</v>
      </c>
      <c r="E14" s="40">
        <v>8.6</v>
      </c>
      <c r="F14" s="40">
        <v>1.9</v>
      </c>
      <c r="G14" s="39">
        <v>12</v>
      </c>
      <c r="H14" s="39">
        <v>190</v>
      </c>
      <c r="I14" s="39" t="str">
        <f t="shared" si="0"/>
        <v>S</v>
      </c>
      <c r="J14" s="39">
        <v>32</v>
      </c>
      <c r="K14" s="39" t="s">
        <v>62</v>
      </c>
      <c r="L14" s="69">
        <f t="shared" si="1"/>
        <v>0.5</v>
      </c>
      <c r="M14" s="39">
        <f ca="1">VLOOKUP(L14,OFFSET(car4,0,12),2)</f>
        <v>84</v>
      </c>
      <c r="N14" s="70">
        <f ca="1">VLOOKUP(L14,OFFSET(car4,0,12),3)</f>
        <v>3</v>
      </c>
      <c r="P14" s="2" t="s">
        <v>23</v>
      </c>
      <c r="Q14" t="s">
        <v>37</v>
      </c>
      <c r="R14" s="2"/>
      <c r="S14" s="2"/>
      <c r="T14" s="35"/>
      <c r="U14" s="35"/>
      <c r="V14" s="35"/>
      <c r="W14" s="35"/>
      <c r="X14" s="23"/>
      <c r="Y14" s="23"/>
      <c r="Z14" s="23"/>
      <c r="AA14" s="23"/>
      <c r="AB14" s="23"/>
    </row>
    <row r="15" spans="1:28" ht="12.75">
      <c r="A15" s="38">
        <v>5</v>
      </c>
      <c r="B15" s="40">
        <v>13.5</v>
      </c>
      <c r="C15" s="40">
        <v>5.5</v>
      </c>
      <c r="D15" s="40">
        <v>3.2</v>
      </c>
      <c r="E15" s="40">
        <v>1</v>
      </c>
      <c r="F15" s="40">
        <v>6.8</v>
      </c>
      <c r="G15" s="39">
        <v>10</v>
      </c>
      <c r="H15" s="39">
        <v>230</v>
      </c>
      <c r="I15" s="39" t="str">
        <f t="shared" si="0"/>
        <v>SW</v>
      </c>
      <c r="J15" s="39">
        <v>29</v>
      </c>
      <c r="K15" s="39" t="s">
        <v>30</v>
      </c>
      <c r="L15" s="69">
        <f t="shared" si="1"/>
        <v>0.5</v>
      </c>
      <c r="M15" s="39">
        <f ca="1">VLOOKUP(L15,OFFSET(car5,0,12),2)</f>
        <v>65</v>
      </c>
      <c r="N15" s="70">
        <f ca="1">VLOOKUP(L15,OFFSET(car5,0,12),3)</f>
        <v>3</v>
      </c>
      <c r="P15" s="2" t="s">
        <v>24</v>
      </c>
      <c r="Q15" t="s">
        <v>38</v>
      </c>
      <c r="R15" s="2"/>
      <c r="S15" s="2"/>
      <c r="T15" s="35"/>
      <c r="U15" s="35"/>
      <c r="V15" s="35"/>
      <c r="W15" s="35"/>
      <c r="X15" s="23"/>
      <c r="Y15" s="23"/>
      <c r="Z15" s="23"/>
      <c r="AA15" s="23"/>
      <c r="AB15" s="23"/>
    </row>
    <row r="16" spans="1:28" ht="12.75">
      <c r="A16" s="38">
        <v>6</v>
      </c>
      <c r="B16" s="40">
        <v>14.8</v>
      </c>
      <c r="C16" s="40">
        <v>6.8</v>
      </c>
      <c r="D16" s="40">
        <v>4.4</v>
      </c>
      <c r="E16" s="40">
        <v>0</v>
      </c>
      <c r="F16" s="40">
        <v>4.5</v>
      </c>
      <c r="G16" s="39">
        <v>6</v>
      </c>
      <c r="H16" s="39">
        <v>270</v>
      </c>
      <c r="I16" s="39" t="str">
        <f t="shared" si="0"/>
        <v>W</v>
      </c>
      <c r="J16" s="39">
        <v>14</v>
      </c>
      <c r="K16" s="39" t="s">
        <v>30</v>
      </c>
      <c r="L16" s="69">
        <f t="shared" si="1"/>
        <v>0.5</v>
      </c>
      <c r="M16" s="39">
        <f ca="1">VLOOKUP(L16,OFFSET(car6,0,12),2)</f>
        <v>55</v>
      </c>
      <c r="N16" s="70">
        <f ca="1">VLOOKUP(L16,OFFSET(car6,0,12),3)</f>
        <v>0</v>
      </c>
      <c r="P16" s="2" t="s">
        <v>25</v>
      </c>
      <c r="Q16" t="s">
        <v>39</v>
      </c>
      <c r="R16" s="2"/>
      <c r="S16" s="2"/>
      <c r="T16" s="35"/>
      <c r="U16" s="35"/>
      <c r="V16" s="35"/>
      <c r="W16" s="35"/>
      <c r="X16" s="23"/>
      <c r="Y16" s="23"/>
      <c r="Z16" s="23"/>
      <c r="AA16" s="23"/>
      <c r="AB16" s="23"/>
    </row>
    <row r="17" spans="1:28" ht="12.75">
      <c r="A17" s="38">
        <v>7</v>
      </c>
      <c r="B17" s="40">
        <v>16.9</v>
      </c>
      <c r="C17" s="40">
        <v>7.4</v>
      </c>
      <c r="D17" s="40">
        <v>4.4</v>
      </c>
      <c r="E17" s="40">
        <v>3.4</v>
      </c>
      <c r="F17" s="40">
        <v>6.1</v>
      </c>
      <c r="G17" s="39">
        <v>8</v>
      </c>
      <c r="H17" s="39">
        <v>320</v>
      </c>
      <c r="I17" s="39" t="str">
        <f t="shared" si="0"/>
        <v>NW</v>
      </c>
      <c r="J17" s="39">
        <v>22</v>
      </c>
      <c r="K17" s="39" t="s">
        <v>30</v>
      </c>
      <c r="L17" s="69">
        <f t="shared" si="1"/>
        <v>0.5</v>
      </c>
      <c r="M17" s="39">
        <f ca="1">VLOOKUP(L17,OFFSET(car7,0,12),2)</f>
        <v>13</v>
      </c>
      <c r="N17" s="70">
        <f ca="1">VLOOKUP(L17,OFFSET(car7,0,12),3)</f>
        <v>3</v>
      </c>
      <c r="P17" s="2" t="s">
        <v>26</v>
      </c>
      <c r="Q17" t="s">
        <v>40</v>
      </c>
      <c r="R17" s="2"/>
      <c r="S17" s="2"/>
      <c r="T17" s="35"/>
      <c r="U17" s="35"/>
      <c r="V17" s="35"/>
      <c r="W17" s="35"/>
      <c r="X17" s="23"/>
      <c r="Y17" s="23"/>
      <c r="Z17" s="23"/>
      <c r="AA17" s="23"/>
      <c r="AB17" s="23"/>
    </row>
    <row r="18" spans="1:28" ht="12.75">
      <c r="A18" s="38">
        <v>8</v>
      </c>
      <c r="B18" s="40">
        <v>12.7</v>
      </c>
      <c r="C18" s="40">
        <v>9.5</v>
      </c>
      <c r="D18" s="40">
        <v>8.5</v>
      </c>
      <c r="E18" s="40">
        <v>1.4</v>
      </c>
      <c r="F18" s="40">
        <v>0</v>
      </c>
      <c r="G18" s="39">
        <v>10</v>
      </c>
      <c r="H18" s="39">
        <v>300</v>
      </c>
      <c r="I18" s="39" t="str">
        <f t="shared" si="0"/>
        <v>NW</v>
      </c>
      <c r="J18" s="39">
        <v>23</v>
      </c>
      <c r="K18" s="39" t="s">
        <v>30</v>
      </c>
      <c r="L18" s="69">
        <f t="shared" si="1"/>
        <v>0.5</v>
      </c>
      <c r="M18" s="39">
        <f ca="1">VLOOKUP(L18,OFFSET(car8,0,12),2)</f>
        <v>17</v>
      </c>
      <c r="N18" s="70">
        <f ca="1">VLOOKUP(L18,OFFSET(car8,0,12),3)</f>
        <v>3</v>
      </c>
      <c r="P18" s="2" t="s">
        <v>27</v>
      </c>
      <c r="Q18" t="s">
        <v>41</v>
      </c>
      <c r="R18" s="2"/>
      <c r="S18" s="2"/>
      <c r="T18" s="35"/>
      <c r="U18" s="35"/>
      <c r="V18" s="35"/>
      <c r="W18" s="35"/>
      <c r="X18" s="23"/>
      <c r="Y18" s="23"/>
      <c r="Z18" s="23"/>
      <c r="AA18" s="23"/>
      <c r="AB18" s="23"/>
    </row>
    <row r="19" spans="1:28" ht="12.75">
      <c r="A19" s="38">
        <v>9</v>
      </c>
      <c r="B19" s="40">
        <v>15.6</v>
      </c>
      <c r="C19" s="40">
        <v>10.1</v>
      </c>
      <c r="D19" s="40">
        <v>10.1</v>
      </c>
      <c r="E19" s="40">
        <v>2.2</v>
      </c>
      <c r="F19" s="40">
        <v>0.9</v>
      </c>
      <c r="G19" s="39">
        <v>5</v>
      </c>
      <c r="H19" s="39">
        <v>320</v>
      </c>
      <c r="I19" s="39" t="str">
        <f t="shared" si="0"/>
        <v>NW</v>
      </c>
      <c r="J19" s="39">
        <v>14</v>
      </c>
      <c r="K19" s="39" t="s">
        <v>30</v>
      </c>
      <c r="L19" s="69">
        <f t="shared" si="1"/>
        <v>0.5</v>
      </c>
      <c r="M19" s="39">
        <f ca="1">VLOOKUP(L19,OFFSET(car9,0,12),2)</f>
        <v>8</v>
      </c>
      <c r="N19" s="70">
        <f ca="1">VLOOKUP(L19,OFFSET(car9,0,12),3)</f>
        <v>3</v>
      </c>
      <c r="P19" s="2" t="s">
        <v>28</v>
      </c>
      <c r="Q19" t="s">
        <v>42</v>
      </c>
      <c r="R19" s="2"/>
      <c r="S19" s="2"/>
      <c r="T19" s="35"/>
      <c r="U19" s="35"/>
      <c r="V19" s="35"/>
      <c r="W19" s="35"/>
      <c r="X19" s="23"/>
      <c r="Y19" s="23"/>
      <c r="Z19" s="23"/>
      <c r="AA19" s="23"/>
      <c r="AB19" s="23"/>
    </row>
    <row r="20" spans="1:28" ht="12.75">
      <c r="A20" s="38">
        <v>10</v>
      </c>
      <c r="B20" s="40">
        <v>19.5</v>
      </c>
      <c r="C20" s="40">
        <v>12.6</v>
      </c>
      <c r="D20" s="40">
        <v>12</v>
      </c>
      <c r="E20" s="40">
        <v>0</v>
      </c>
      <c r="F20" s="40">
        <v>7.7</v>
      </c>
      <c r="G20" s="39">
        <v>5</v>
      </c>
      <c r="H20" s="39">
        <v>360</v>
      </c>
      <c r="I20" s="39" t="str">
        <f t="shared" si="0"/>
        <v>N</v>
      </c>
      <c r="J20" s="39">
        <v>15</v>
      </c>
      <c r="K20" s="39" t="s">
        <v>30</v>
      </c>
      <c r="L20" s="69">
        <f t="shared" si="1"/>
        <v>0.5</v>
      </c>
      <c r="M20" s="39">
        <f ca="1">VLOOKUP(L20,OFFSET(car10,0,12),2)</f>
        <v>13</v>
      </c>
      <c r="N20" s="70">
        <f ca="1">VLOOKUP(L20,OFFSET(car10,0,12),3)</f>
        <v>5</v>
      </c>
      <c r="P20" s="2" t="s">
        <v>29</v>
      </c>
      <c r="Q20"/>
      <c r="R20" s="2"/>
      <c r="S20" s="2"/>
      <c r="T20" s="35"/>
      <c r="U20" s="35"/>
      <c r="V20" s="35"/>
      <c r="W20" s="35"/>
      <c r="X20" s="23"/>
      <c r="Y20" s="23"/>
      <c r="Z20" s="23"/>
      <c r="AA20" s="23"/>
      <c r="AB20" s="23"/>
    </row>
    <row r="21" spans="1:28" ht="12.75">
      <c r="A21" s="38">
        <v>11</v>
      </c>
      <c r="B21" s="40">
        <v>15.7</v>
      </c>
      <c r="C21" s="40">
        <v>10.3</v>
      </c>
      <c r="D21" s="40">
        <v>7.2</v>
      </c>
      <c r="E21" s="40">
        <v>0</v>
      </c>
      <c r="F21" s="40">
        <v>4.2</v>
      </c>
      <c r="G21" s="39">
        <v>5</v>
      </c>
      <c r="H21" s="39">
        <v>20</v>
      </c>
      <c r="I21" s="39" t="str">
        <f t="shared" si="0"/>
        <v>N</v>
      </c>
      <c r="J21" s="39">
        <v>14</v>
      </c>
      <c r="K21" s="39" t="s">
        <v>30</v>
      </c>
      <c r="L21" s="69">
        <f t="shared" si="1"/>
        <v>0.5</v>
      </c>
      <c r="M21" s="39">
        <f ca="1">VLOOKUP(L21,OFFSET(car11,0,6),2)</f>
        <v>27</v>
      </c>
      <c r="N21" s="70">
        <f ca="1">VLOOKUP(L21,OFFSET(car11,0,6),3)</f>
        <v>11</v>
      </c>
      <c r="P21" s="2" t="s">
        <v>43</v>
      </c>
      <c r="Q21" t="s">
        <v>44</v>
      </c>
      <c r="R21" s="2"/>
      <c r="S21" s="2"/>
      <c r="T21" s="35"/>
      <c r="U21" s="35"/>
      <c r="V21" s="35"/>
      <c r="W21" s="35"/>
      <c r="X21" s="23"/>
      <c r="Y21" s="23"/>
      <c r="Z21" s="23"/>
      <c r="AA21" s="23"/>
      <c r="AB21" s="23"/>
    </row>
    <row r="22" spans="1:28" ht="12.75">
      <c r="A22" s="38">
        <v>12</v>
      </c>
      <c r="B22" s="40">
        <v>13.6</v>
      </c>
      <c r="C22" s="40">
        <v>8.6</v>
      </c>
      <c r="D22" s="40">
        <v>7.2</v>
      </c>
      <c r="E22" s="40">
        <v>0</v>
      </c>
      <c r="F22" s="40">
        <v>0</v>
      </c>
      <c r="G22" s="39">
        <v>6</v>
      </c>
      <c r="H22" s="39">
        <v>20</v>
      </c>
      <c r="I22" s="39" t="str">
        <f t="shared" si="0"/>
        <v>N</v>
      </c>
      <c r="J22" s="39">
        <v>17</v>
      </c>
      <c r="K22" s="39" t="s">
        <v>30</v>
      </c>
      <c r="L22" s="69">
        <f t="shared" si="1"/>
        <v>0.5</v>
      </c>
      <c r="M22" s="39">
        <f ca="1">VLOOKUP(L22,OFFSET(car12,0,12),2)</f>
        <v>15</v>
      </c>
      <c r="N22" s="70">
        <f ca="1">VLOOKUP(L22,OFFSET(car12,0,12),3)</f>
        <v>0</v>
      </c>
      <c r="P22" s="2" t="s">
        <v>45</v>
      </c>
      <c r="Q22" t="s">
        <v>46</v>
      </c>
      <c r="R22" s="2"/>
      <c r="S22" s="2"/>
      <c r="T22" s="35"/>
      <c r="U22" s="35"/>
      <c r="V22" s="35"/>
      <c r="W22" s="35"/>
      <c r="X22" s="23"/>
      <c r="Y22" s="23"/>
      <c r="Z22" s="23"/>
      <c r="AA22" s="23"/>
      <c r="AB22" s="23"/>
    </row>
    <row r="23" spans="1:28" ht="12.75">
      <c r="A23" s="38">
        <v>13</v>
      </c>
      <c r="B23" s="40">
        <v>18</v>
      </c>
      <c r="C23" s="40">
        <v>8.5</v>
      </c>
      <c r="D23" s="40">
        <v>4.7</v>
      </c>
      <c r="E23" s="40">
        <v>0</v>
      </c>
      <c r="F23" s="40">
        <v>5.2</v>
      </c>
      <c r="G23" s="39">
        <v>4</v>
      </c>
      <c r="H23" s="39">
        <v>10</v>
      </c>
      <c r="I23" s="39" t="str">
        <f t="shared" si="0"/>
        <v>N</v>
      </c>
      <c r="J23" s="39">
        <v>12</v>
      </c>
      <c r="K23" s="39" t="s">
        <v>30</v>
      </c>
      <c r="L23" s="69">
        <f t="shared" si="1"/>
        <v>0.5</v>
      </c>
      <c r="M23" s="39">
        <f ca="1">VLOOKUP(L23,OFFSET(car13,0,12),2)</f>
        <v>13</v>
      </c>
      <c r="N23" s="70">
        <f ca="1">VLOOKUP(L23,OFFSET(car13,0,12),3)</f>
        <v>0</v>
      </c>
      <c r="P23" s="2" t="s">
        <v>47</v>
      </c>
      <c r="Q23" t="s">
        <v>48</v>
      </c>
      <c r="R23" s="2"/>
      <c r="S23" s="2"/>
      <c r="T23" s="35"/>
      <c r="U23" s="35"/>
      <c r="V23" s="35"/>
      <c r="W23" s="35"/>
      <c r="X23" s="23"/>
      <c r="Y23" s="23"/>
      <c r="Z23" s="23"/>
      <c r="AA23" s="23"/>
      <c r="AB23" s="23"/>
    </row>
    <row r="24" spans="1:28" ht="12.75">
      <c r="A24" s="38">
        <v>14</v>
      </c>
      <c r="B24" s="40">
        <v>20.3</v>
      </c>
      <c r="C24" s="40">
        <v>8.4</v>
      </c>
      <c r="D24" s="40">
        <v>2.5</v>
      </c>
      <c r="E24" s="40">
        <v>0</v>
      </c>
      <c r="F24" s="40">
        <v>9.9</v>
      </c>
      <c r="G24" s="39">
        <v>4</v>
      </c>
      <c r="H24" s="39">
        <v>320</v>
      </c>
      <c r="I24" s="39" t="str">
        <f t="shared" si="0"/>
        <v>NW</v>
      </c>
      <c r="J24" s="39">
        <v>15</v>
      </c>
      <c r="K24" s="39" t="s">
        <v>30</v>
      </c>
      <c r="L24" s="69">
        <f t="shared" si="1"/>
        <v>0.5</v>
      </c>
      <c r="M24" s="39">
        <f ca="1">VLOOKUP(L24,OFFSET(car14,0,12),2)</f>
        <v>15</v>
      </c>
      <c r="N24" s="70">
        <f ca="1">VLOOKUP(L24,OFFSET(car14,0,12),3)</f>
        <v>0</v>
      </c>
      <c r="P24" s="2" t="s">
        <v>49</v>
      </c>
      <c r="Q24" t="s">
        <v>50</v>
      </c>
      <c r="R24" s="2"/>
      <c r="S24" s="2"/>
      <c r="T24" s="35"/>
      <c r="U24" s="35"/>
      <c r="V24" s="35"/>
      <c r="W24" s="35"/>
      <c r="X24" s="23"/>
      <c r="Y24" s="23"/>
      <c r="Z24" s="23"/>
      <c r="AA24" s="23"/>
      <c r="AB24" s="23"/>
    </row>
    <row r="25" spans="1:28" ht="12.75">
      <c r="A25" s="38">
        <v>15</v>
      </c>
      <c r="B25" s="40">
        <v>21.9</v>
      </c>
      <c r="C25" s="40">
        <v>11.1</v>
      </c>
      <c r="D25" s="40">
        <v>6.7</v>
      </c>
      <c r="E25" s="40">
        <v>0</v>
      </c>
      <c r="F25" s="40">
        <v>11.1</v>
      </c>
      <c r="G25" s="39">
        <v>4</v>
      </c>
      <c r="H25" s="39">
        <v>350</v>
      </c>
      <c r="I25" s="39" t="str">
        <f t="shared" si="0"/>
        <v>N</v>
      </c>
      <c r="J25" s="39">
        <v>15</v>
      </c>
      <c r="K25" s="39" t="s">
        <v>30</v>
      </c>
      <c r="L25" s="69">
        <f t="shared" si="1"/>
        <v>0.5</v>
      </c>
      <c r="M25" s="39">
        <f ca="1">VLOOKUP(L25,OFFSET(car15,0,12),2)</f>
        <v>11</v>
      </c>
      <c r="N25" s="70">
        <f ca="1">VLOOKUP(L25,OFFSET(car15,0,12),3)</f>
        <v>3</v>
      </c>
      <c r="P25" s="2" t="s">
        <v>51</v>
      </c>
      <c r="Q25" t="s">
        <v>52</v>
      </c>
      <c r="R25" s="2"/>
      <c r="S25" s="2"/>
      <c r="T25" s="35"/>
      <c r="U25" s="35"/>
      <c r="V25" s="35"/>
      <c r="W25" s="35"/>
      <c r="X25" s="23"/>
      <c r="Y25" s="23"/>
      <c r="Z25" s="23"/>
      <c r="AA25" s="23"/>
      <c r="AB25" s="23"/>
    </row>
    <row r="26" spans="1:28" ht="12.75">
      <c r="A26" s="38">
        <v>16</v>
      </c>
      <c r="B26" s="40">
        <v>22.6</v>
      </c>
      <c r="C26" s="40">
        <v>12.3</v>
      </c>
      <c r="D26" s="40">
        <v>5.1</v>
      </c>
      <c r="E26" s="40">
        <v>0</v>
      </c>
      <c r="F26" s="40">
        <v>7.3</v>
      </c>
      <c r="G26" s="39">
        <v>4</v>
      </c>
      <c r="H26" s="39">
        <v>320</v>
      </c>
      <c r="I26" s="39" t="str">
        <f t="shared" si="0"/>
        <v>NW</v>
      </c>
      <c r="J26" s="39">
        <v>16</v>
      </c>
      <c r="K26" s="39" t="s">
        <v>30</v>
      </c>
      <c r="L26" s="69">
        <f t="shared" si="1"/>
        <v>0.5</v>
      </c>
      <c r="M26" s="39">
        <f ca="1">VLOOKUP(L26,OFFSET(car16,0,12),2)</f>
        <v>10</v>
      </c>
      <c r="N26" s="70">
        <f ca="1">VLOOKUP(L26,OFFSET(car16,0,12),3)</f>
        <v>3</v>
      </c>
      <c r="P26" s="2" t="s">
        <v>53</v>
      </c>
      <c r="Q26" t="s">
        <v>54</v>
      </c>
      <c r="R26" s="2"/>
      <c r="S26" s="2"/>
      <c r="T26" s="35"/>
      <c r="U26" s="35"/>
      <c r="V26" s="35"/>
      <c r="W26" s="35"/>
      <c r="X26" s="23"/>
      <c r="Y26" s="23"/>
      <c r="Z26" s="23"/>
      <c r="AA26" s="23"/>
      <c r="AB26" s="23"/>
    </row>
    <row r="27" spans="1:28" ht="12.75">
      <c r="A27" s="38">
        <v>17</v>
      </c>
      <c r="B27" s="40">
        <v>24.5</v>
      </c>
      <c r="C27" s="40">
        <v>10.6</v>
      </c>
      <c r="D27" s="40">
        <v>3.4</v>
      </c>
      <c r="E27" s="40">
        <v>0</v>
      </c>
      <c r="F27" s="40">
        <v>12.5</v>
      </c>
      <c r="G27" s="39">
        <v>4</v>
      </c>
      <c r="H27" s="39">
        <v>250</v>
      </c>
      <c r="I27" s="39" t="str">
        <f t="shared" si="0"/>
        <v>W</v>
      </c>
      <c r="J27" s="39">
        <v>17</v>
      </c>
      <c r="K27" s="39" t="s">
        <v>30</v>
      </c>
      <c r="L27" s="69">
        <f t="shared" si="1"/>
        <v>0.5</v>
      </c>
      <c r="M27" s="39">
        <f ca="1">VLOOKUP(L27,OFFSET(car17,0,12),2)</f>
        <v>44</v>
      </c>
      <c r="N27" s="70">
        <f ca="1">VLOOKUP(L27,OFFSET(car17,0,12),3)</f>
        <v>3</v>
      </c>
      <c r="P27" s="2" t="s">
        <v>32</v>
      </c>
      <c r="Q27"/>
      <c r="R27" s="2"/>
      <c r="S27" s="2"/>
      <c r="T27" s="35"/>
      <c r="U27" s="35"/>
      <c r="V27" s="35"/>
      <c r="W27" s="35"/>
      <c r="X27" s="23"/>
      <c r="Y27" s="23"/>
      <c r="Z27" s="23"/>
      <c r="AA27" s="23"/>
      <c r="AB27" s="23"/>
    </row>
    <row r="28" spans="1:28" ht="12.75">
      <c r="A28" s="38">
        <v>18</v>
      </c>
      <c r="B28" s="40">
        <v>23.3</v>
      </c>
      <c r="C28" s="40">
        <v>13.3</v>
      </c>
      <c r="D28" s="40">
        <v>7.4</v>
      </c>
      <c r="E28" s="40">
        <v>0</v>
      </c>
      <c r="F28" s="40">
        <v>13.5</v>
      </c>
      <c r="G28" s="39">
        <v>4</v>
      </c>
      <c r="H28" s="39">
        <v>60</v>
      </c>
      <c r="I28" s="39" t="str">
        <f t="shared" si="0"/>
        <v>NE</v>
      </c>
      <c r="J28" s="39">
        <v>15</v>
      </c>
      <c r="K28" s="39" t="s">
        <v>30</v>
      </c>
      <c r="L28" s="69">
        <f t="shared" si="1"/>
        <v>0.5</v>
      </c>
      <c r="M28" s="39">
        <f ca="1">VLOOKUP(L28,OFFSET(car18,0,12),2)</f>
        <v>0</v>
      </c>
      <c r="N28" s="70">
        <f ca="1">VLOOKUP(L28,OFFSET(car18,0,12),3)</f>
        <v>5</v>
      </c>
      <c r="P28" s="2"/>
      <c r="Q28"/>
      <c r="R28" s="2"/>
      <c r="S28" s="2"/>
      <c r="T28" s="35"/>
      <c r="U28" s="35"/>
      <c r="V28" s="35"/>
      <c r="W28" s="35"/>
      <c r="X28" s="23"/>
      <c r="Y28" s="23"/>
      <c r="Z28" s="23"/>
      <c r="AA28" s="23"/>
      <c r="AB28" s="23"/>
    </row>
    <row r="29" spans="1:28" ht="12.75">
      <c r="A29" s="38">
        <v>19</v>
      </c>
      <c r="B29" s="40">
        <v>23.9</v>
      </c>
      <c r="C29" s="40">
        <v>11.2</v>
      </c>
      <c r="D29" s="40">
        <v>6.4</v>
      </c>
      <c r="E29" s="40">
        <v>0</v>
      </c>
      <c r="F29" s="40">
        <v>14.2</v>
      </c>
      <c r="G29" s="39">
        <v>5</v>
      </c>
      <c r="H29" s="39">
        <v>270</v>
      </c>
      <c r="I29" s="39" t="str">
        <f t="shared" si="0"/>
        <v>W</v>
      </c>
      <c r="J29" s="39">
        <v>19</v>
      </c>
      <c r="K29" s="39" t="s">
        <v>30</v>
      </c>
      <c r="L29" s="69">
        <f t="shared" si="1"/>
        <v>0.5</v>
      </c>
      <c r="M29" s="39">
        <f ca="1">VLOOKUP(L29,OFFSET(car19,0,12),2)</f>
        <v>17</v>
      </c>
      <c r="N29" s="70">
        <f ca="1">VLOOKUP(L29,OFFSET(car19,0,12),3)</f>
        <v>0</v>
      </c>
      <c r="P29" s="2" t="s">
        <v>33</v>
      </c>
      <c r="Q29" t="s">
        <v>55</v>
      </c>
      <c r="R29" s="2"/>
      <c r="S29" s="2"/>
      <c r="T29" s="35"/>
      <c r="U29" s="35"/>
      <c r="V29" s="35"/>
      <c r="W29" s="35"/>
      <c r="X29" s="23"/>
      <c r="Y29" s="23"/>
      <c r="Z29" s="23"/>
      <c r="AA29" s="23"/>
      <c r="AB29" s="23"/>
    </row>
    <row r="30" spans="1:28" ht="12.75">
      <c r="A30" s="38">
        <v>20</v>
      </c>
      <c r="B30" s="40">
        <v>21.7</v>
      </c>
      <c r="C30" s="40">
        <v>14.7</v>
      </c>
      <c r="D30" s="40">
        <v>10.9</v>
      </c>
      <c r="E30" s="40">
        <v>5.2</v>
      </c>
      <c r="F30" s="40">
        <v>6.4</v>
      </c>
      <c r="G30" s="39">
        <v>5</v>
      </c>
      <c r="H30" s="39">
        <v>50</v>
      </c>
      <c r="I30" s="39" t="str">
        <f t="shared" si="0"/>
        <v>NE</v>
      </c>
      <c r="J30" s="39">
        <v>18</v>
      </c>
      <c r="K30" s="39" t="s">
        <v>30</v>
      </c>
      <c r="L30" s="69">
        <f t="shared" si="1"/>
        <v>0.5</v>
      </c>
      <c r="M30" s="39">
        <f ca="1">VLOOKUP(L30,OFFSET(car20,0,12),2)</f>
        <v>17</v>
      </c>
      <c r="N30" s="70">
        <f ca="1">VLOOKUP(L30,OFFSET(car20,0,12),3)</f>
        <v>5</v>
      </c>
      <c r="P30" s="24"/>
      <c r="Q30" s="23"/>
      <c r="R30" s="23"/>
      <c r="S30" s="35"/>
      <c r="T30" s="35"/>
      <c r="U30" s="35"/>
      <c r="V30" s="35"/>
      <c r="W30" s="35"/>
      <c r="X30" s="23"/>
      <c r="Y30" s="23"/>
      <c r="Z30" s="23"/>
      <c r="AA30" s="23"/>
      <c r="AB30" s="23"/>
    </row>
    <row r="31" spans="1:28" ht="12.75">
      <c r="A31" s="38">
        <v>21</v>
      </c>
      <c r="B31" s="40">
        <v>15.3</v>
      </c>
      <c r="C31" s="40">
        <v>9.2</v>
      </c>
      <c r="D31" s="40">
        <v>7.8</v>
      </c>
      <c r="E31" s="40">
        <v>0</v>
      </c>
      <c r="F31" s="40">
        <v>5.5</v>
      </c>
      <c r="G31" s="39">
        <v>7</v>
      </c>
      <c r="H31" s="39">
        <v>50</v>
      </c>
      <c r="I31" s="39" t="str">
        <f t="shared" si="0"/>
        <v>NE</v>
      </c>
      <c r="J31" s="39">
        <v>20</v>
      </c>
      <c r="K31" s="39" t="s">
        <v>30</v>
      </c>
      <c r="L31" s="69">
        <f t="shared" si="1"/>
        <v>0.5</v>
      </c>
      <c r="M31" s="39">
        <f ca="1">VLOOKUP(L31,OFFSET(car21,0,12),2)</f>
        <v>11</v>
      </c>
      <c r="N31" s="70">
        <f ca="1">VLOOKUP(L31,OFFSET(car21,0,12),3)</f>
        <v>0</v>
      </c>
      <c r="P31" s="24"/>
      <c r="Q31" s="23"/>
      <c r="R31" s="23"/>
      <c r="S31" s="35"/>
      <c r="T31" s="35"/>
      <c r="U31" s="35"/>
      <c r="V31" s="35"/>
      <c r="W31" s="35"/>
      <c r="X31" s="23"/>
      <c r="Y31" s="23"/>
      <c r="Z31" s="23"/>
      <c r="AA31" s="23"/>
      <c r="AB31" s="23"/>
    </row>
    <row r="32" spans="1:28" ht="12.75">
      <c r="A32" s="38">
        <v>22</v>
      </c>
      <c r="B32" s="40">
        <v>15.8</v>
      </c>
      <c r="C32" s="40">
        <v>5.3</v>
      </c>
      <c r="D32" s="40">
        <v>1.3</v>
      </c>
      <c r="E32" s="40">
        <v>0</v>
      </c>
      <c r="F32" s="40">
        <v>14.7</v>
      </c>
      <c r="G32" s="39">
        <v>6</v>
      </c>
      <c r="H32" s="39">
        <v>20</v>
      </c>
      <c r="I32" s="39" t="str">
        <f t="shared" si="0"/>
        <v>N</v>
      </c>
      <c r="J32" s="39">
        <v>22</v>
      </c>
      <c r="K32" s="39" t="s">
        <v>30</v>
      </c>
      <c r="L32" s="69">
        <f t="shared" si="1"/>
        <v>0.5</v>
      </c>
      <c r="M32" s="39">
        <f ca="1">VLOOKUP(L32,OFFSET(car22,0,12),2)</f>
        <v>10</v>
      </c>
      <c r="N32" s="70">
        <f ca="1">VLOOKUP(L32,OFFSET(car22,0,12),3)</f>
        <v>3</v>
      </c>
      <c r="P32" s="24"/>
      <c r="Q32" s="23"/>
      <c r="R32" s="23"/>
      <c r="S32" s="35"/>
      <c r="T32" s="35"/>
      <c r="U32" s="35"/>
      <c r="V32" s="35"/>
      <c r="W32" s="35"/>
      <c r="X32" s="23"/>
      <c r="Y32" s="23"/>
      <c r="Z32" s="23"/>
      <c r="AA32" s="23"/>
      <c r="AB32" s="23"/>
    </row>
    <row r="33" spans="1:28" ht="12.75">
      <c r="A33" s="38">
        <v>23</v>
      </c>
      <c r="B33" s="40">
        <v>18.9</v>
      </c>
      <c r="C33" s="40">
        <v>6</v>
      </c>
      <c r="D33" s="40">
        <v>0.2</v>
      </c>
      <c r="E33" s="40">
        <v>0</v>
      </c>
      <c r="F33" s="40">
        <v>12.6</v>
      </c>
      <c r="G33" s="39">
        <v>4</v>
      </c>
      <c r="H33" s="39">
        <v>300</v>
      </c>
      <c r="I33" s="39" t="str">
        <f t="shared" si="0"/>
        <v>NW</v>
      </c>
      <c r="J33" s="39">
        <v>16</v>
      </c>
      <c r="K33" s="39" t="s">
        <v>30</v>
      </c>
      <c r="L33" s="69">
        <f t="shared" si="1"/>
        <v>0.5</v>
      </c>
      <c r="M33" s="39">
        <f ca="1">VLOOKUP(L33,OFFSET(car23,0,12),2)</f>
        <v>8</v>
      </c>
      <c r="N33" s="70">
        <f ca="1">VLOOKUP(L33,OFFSET(car23,0,12),3)</f>
        <v>3</v>
      </c>
      <c r="P33" s="24"/>
      <c r="Q33" s="23"/>
      <c r="R33" s="23"/>
      <c r="S33" s="35"/>
      <c r="T33" s="35"/>
      <c r="U33" s="35"/>
      <c r="V33" s="35"/>
      <c r="W33" s="35"/>
      <c r="X33" s="23"/>
      <c r="Y33" s="23"/>
      <c r="Z33" s="23"/>
      <c r="AA33" s="23"/>
      <c r="AB33" s="23"/>
    </row>
    <row r="34" spans="1:28" ht="12.75">
      <c r="A34" s="38">
        <v>24</v>
      </c>
      <c r="B34" s="40">
        <v>20.4</v>
      </c>
      <c r="C34" s="40">
        <v>8.3</v>
      </c>
      <c r="D34" s="40">
        <v>0.1</v>
      </c>
      <c r="E34" s="40">
        <v>0</v>
      </c>
      <c r="F34" s="40">
        <v>11.6</v>
      </c>
      <c r="G34" s="39">
        <v>4</v>
      </c>
      <c r="H34" s="39">
        <v>10</v>
      </c>
      <c r="I34" s="39" t="str">
        <f t="shared" si="0"/>
        <v>N</v>
      </c>
      <c r="J34" s="39">
        <v>14</v>
      </c>
      <c r="K34" s="39" t="s">
        <v>30</v>
      </c>
      <c r="L34" s="69">
        <f t="shared" si="1"/>
        <v>0.5</v>
      </c>
      <c r="M34" s="39">
        <f ca="1">VLOOKUP(L34,OFFSET(car24,0,12),2)</f>
        <v>11</v>
      </c>
      <c r="N34" s="70">
        <f ca="1">VLOOKUP(L34,OFFSET(car24,0,12),3)</f>
        <v>0</v>
      </c>
      <c r="P34" s="24"/>
      <c r="Q34" s="23"/>
      <c r="R34" s="23"/>
      <c r="S34" s="35"/>
      <c r="T34" s="35"/>
      <c r="U34" s="35"/>
      <c r="V34" s="35"/>
      <c r="W34" s="35"/>
      <c r="X34" s="23"/>
      <c r="Y34" s="23"/>
      <c r="Z34" s="23"/>
      <c r="AA34" s="23"/>
      <c r="AB34" s="23"/>
    </row>
    <row r="35" spans="1:28" ht="12.75">
      <c r="A35" s="38">
        <v>25</v>
      </c>
      <c r="B35" s="40">
        <v>19.6</v>
      </c>
      <c r="C35" s="40">
        <v>10.7</v>
      </c>
      <c r="D35" s="40">
        <v>8.1</v>
      </c>
      <c r="E35" s="40">
        <v>0</v>
      </c>
      <c r="F35" s="40">
        <v>6.8</v>
      </c>
      <c r="G35" s="39">
        <v>5</v>
      </c>
      <c r="H35" s="39">
        <v>360</v>
      </c>
      <c r="I35" s="39" t="str">
        <f t="shared" si="0"/>
        <v>N</v>
      </c>
      <c r="J35" s="39">
        <v>18</v>
      </c>
      <c r="K35" s="39" t="s">
        <v>30</v>
      </c>
      <c r="L35" s="69">
        <f t="shared" si="1"/>
        <v>0.5</v>
      </c>
      <c r="M35" s="39">
        <f ca="1">VLOOKUP(L35,OFFSET(car25,0,12),2)</f>
        <v>17</v>
      </c>
      <c r="N35" s="70">
        <f ca="1">VLOOKUP(L35,OFFSET(car25,0,12),3)</f>
        <v>5</v>
      </c>
      <c r="P35" s="24"/>
      <c r="Q35" s="23"/>
      <c r="R35" s="23"/>
      <c r="S35" s="35"/>
      <c r="T35" s="35"/>
      <c r="U35" s="35"/>
      <c r="V35" s="35"/>
      <c r="W35" s="35"/>
      <c r="X35" s="23"/>
      <c r="Y35" s="23"/>
      <c r="Z35" s="23"/>
      <c r="AA35" s="23"/>
      <c r="AB35" s="23"/>
    </row>
    <row r="36" spans="1:28" ht="12.75">
      <c r="A36" s="38">
        <v>26</v>
      </c>
      <c r="B36" s="40">
        <v>18.4</v>
      </c>
      <c r="C36" s="40">
        <v>11.1</v>
      </c>
      <c r="D36" s="40">
        <v>10</v>
      </c>
      <c r="E36" s="40">
        <v>1.6</v>
      </c>
      <c r="F36" s="40">
        <v>3.7</v>
      </c>
      <c r="G36" s="39">
        <v>7</v>
      </c>
      <c r="H36" s="39">
        <v>100</v>
      </c>
      <c r="I36" s="39" t="str">
        <f t="shared" si="0"/>
        <v>E</v>
      </c>
      <c r="J36" s="39">
        <v>15</v>
      </c>
      <c r="K36" s="39" t="s">
        <v>30</v>
      </c>
      <c r="L36" s="69">
        <f t="shared" si="1"/>
        <v>0.5</v>
      </c>
      <c r="M36" s="39">
        <f ca="1">VLOOKUP(L36,OFFSET(car26,0,12),2)</f>
        <v>63</v>
      </c>
      <c r="N36" s="70">
        <f ca="1">VLOOKUP(L36,OFFSET(car26,0,12),3)</f>
        <v>13</v>
      </c>
      <c r="P36" s="24"/>
      <c r="Q36" s="23"/>
      <c r="R36" s="23"/>
      <c r="S36" s="35"/>
      <c r="T36" s="35"/>
      <c r="U36" s="35"/>
      <c r="V36" s="35"/>
      <c r="W36" s="35"/>
      <c r="X36" s="23"/>
      <c r="Y36" s="23"/>
      <c r="Z36" s="23"/>
      <c r="AA36" s="23"/>
      <c r="AB36" s="23"/>
    </row>
    <row r="37" spans="1:28" ht="12.75">
      <c r="A37" s="38">
        <v>27</v>
      </c>
      <c r="B37" s="40">
        <v>17.7</v>
      </c>
      <c r="C37" s="40">
        <v>9.4</v>
      </c>
      <c r="D37" s="40">
        <v>8.3</v>
      </c>
      <c r="E37" s="40">
        <v>0</v>
      </c>
      <c r="F37" s="40">
        <v>5.8</v>
      </c>
      <c r="G37" s="39">
        <v>7</v>
      </c>
      <c r="H37" s="39">
        <v>90</v>
      </c>
      <c r="I37" s="39" t="str">
        <f t="shared" si="0"/>
        <v>E</v>
      </c>
      <c r="J37" s="39">
        <v>16</v>
      </c>
      <c r="K37" s="39" t="s">
        <v>30</v>
      </c>
      <c r="L37" s="69">
        <f t="shared" si="1"/>
        <v>0.5</v>
      </c>
      <c r="M37" s="39">
        <f ca="1">VLOOKUP(L37,OFFSET(car27,0,12),2)</f>
        <v>57</v>
      </c>
      <c r="N37" s="70">
        <f ca="1">VLOOKUP(L37,OFFSET(car27,0,12),3)</f>
        <v>5</v>
      </c>
      <c r="P37" s="24"/>
      <c r="Q37" s="23"/>
      <c r="R37" s="23"/>
      <c r="S37" s="35"/>
      <c r="T37" s="35"/>
      <c r="U37" s="35"/>
      <c r="V37" s="35"/>
      <c r="W37" s="35"/>
      <c r="X37" s="23"/>
      <c r="Y37" s="23"/>
      <c r="Z37" s="23"/>
      <c r="AA37" s="23"/>
      <c r="AB37" s="23"/>
    </row>
    <row r="38" spans="1:28" ht="12.75">
      <c r="A38" s="38">
        <v>28</v>
      </c>
      <c r="B38" s="40">
        <v>20.1</v>
      </c>
      <c r="C38" s="40">
        <v>7.3</v>
      </c>
      <c r="D38" s="40">
        <v>4.6</v>
      </c>
      <c r="E38" s="40">
        <v>0</v>
      </c>
      <c r="F38" s="40">
        <v>6.4</v>
      </c>
      <c r="G38" s="39">
        <v>8</v>
      </c>
      <c r="H38" s="39">
        <v>150</v>
      </c>
      <c r="I38" s="39" t="str">
        <f t="shared" si="0"/>
        <v>SE</v>
      </c>
      <c r="J38" s="39">
        <v>19</v>
      </c>
      <c r="K38" s="39" t="s">
        <v>30</v>
      </c>
      <c r="L38" s="69">
        <f t="shared" si="1"/>
        <v>0.5</v>
      </c>
      <c r="M38" s="39">
        <f ca="1">VLOOKUP(L38,OFFSET(car28,0,12),2)</f>
        <v>90</v>
      </c>
      <c r="N38" s="70">
        <f ca="1">VLOOKUP(L38,OFFSET(car28,0,12),3)</f>
        <v>5</v>
      </c>
      <c r="P38" s="24"/>
      <c r="Q38" s="23"/>
      <c r="R38" s="23"/>
      <c r="S38" s="35"/>
      <c r="T38" s="35"/>
      <c r="U38" s="35"/>
      <c r="V38" s="35"/>
      <c r="W38" s="35"/>
      <c r="X38" s="23"/>
      <c r="Y38" s="23"/>
      <c r="Z38" s="23"/>
      <c r="AA38" s="23"/>
      <c r="AB38" s="23"/>
    </row>
    <row r="39" spans="1:28" ht="12.75">
      <c r="A39" s="38">
        <v>29</v>
      </c>
      <c r="B39" s="40">
        <v>20.5</v>
      </c>
      <c r="C39" s="40">
        <v>14.5</v>
      </c>
      <c r="D39" s="40">
        <v>13</v>
      </c>
      <c r="E39" s="40">
        <v>0.4</v>
      </c>
      <c r="F39" s="40">
        <v>0.1</v>
      </c>
      <c r="G39" s="39">
        <v>8</v>
      </c>
      <c r="H39" s="39">
        <v>160</v>
      </c>
      <c r="I39" s="39" t="str">
        <f t="shared" si="0"/>
        <v>S</v>
      </c>
      <c r="J39" s="39">
        <v>18</v>
      </c>
      <c r="K39" s="39" t="s">
        <v>30</v>
      </c>
      <c r="L39" s="69">
        <f t="shared" si="1"/>
        <v>0.5</v>
      </c>
      <c r="M39" s="39">
        <f ca="1">VLOOKUP(L39,OFFSET(car29,0,12),2)</f>
        <v>78</v>
      </c>
      <c r="N39" s="70">
        <f ca="1">VLOOKUP(L39,OFFSET(car29,0,12),3)</f>
        <v>5</v>
      </c>
      <c r="P39" s="24"/>
      <c r="Q39" s="23"/>
      <c r="R39" s="23"/>
      <c r="S39" s="35"/>
      <c r="T39" s="35"/>
      <c r="U39" s="35"/>
      <c r="V39" s="35"/>
      <c r="W39" s="35"/>
      <c r="X39" s="23"/>
      <c r="Y39" s="23"/>
      <c r="Z39" s="23"/>
      <c r="AA39" s="23"/>
      <c r="AB39" s="23"/>
    </row>
    <row r="40" spans="1:28" ht="12.75">
      <c r="A40" s="38">
        <v>30</v>
      </c>
      <c r="B40" s="40">
        <v>18.7</v>
      </c>
      <c r="C40" s="40">
        <v>11.7</v>
      </c>
      <c r="D40" s="40">
        <v>11</v>
      </c>
      <c r="E40" s="40">
        <v>0.4</v>
      </c>
      <c r="F40" s="40">
        <v>5.5</v>
      </c>
      <c r="G40" s="39">
        <v>7</v>
      </c>
      <c r="H40" s="39">
        <v>270</v>
      </c>
      <c r="I40" s="39" t="str">
        <f t="shared" si="0"/>
        <v>W</v>
      </c>
      <c r="J40" s="39">
        <v>22</v>
      </c>
      <c r="K40" s="39" t="s">
        <v>62</v>
      </c>
      <c r="L40" s="69">
        <f t="shared" si="1"/>
        <v>0.5</v>
      </c>
      <c r="M40" s="39">
        <f ca="1">VLOOKUP(L40,OFFSET(car30,0,12),2)</f>
        <v>19</v>
      </c>
      <c r="N40" s="70">
        <f ca="1">VLOOKUP(L40,OFFSET(car30,0,12),3)</f>
        <v>3</v>
      </c>
      <c r="P40" s="24"/>
      <c r="Q40" s="23"/>
      <c r="R40" s="23"/>
      <c r="S40" s="35"/>
      <c r="T40" s="35"/>
      <c r="U40" s="35"/>
      <c r="V40" s="35"/>
      <c r="W40" s="35"/>
      <c r="X40" s="23"/>
      <c r="Y40" s="23"/>
      <c r="Z40" s="23"/>
      <c r="AA40" s="23"/>
      <c r="AB40" s="23"/>
    </row>
    <row r="41" spans="1:28" ht="12.75">
      <c r="A41" s="38">
        <v>31</v>
      </c>
      <c r="B41" s="40">
        <v>21.6</v>
      </c>
      <c r="C41" s="40">
        <v>9</v>
      </c>
      <c r="D41" s="40">
        <v>6</v>
      </c>
      <c r="E41" s="40">
        <v>10</v>
      </c>
      <c r="F41" s="40">
        <v>10.7</v>
      </c>
      <c r="G41" s="39">
        <v>6</v>
      </c>
      <c r="H41" s="39">
        <v>180</v>
      </c>
      <c r="I41" s="39" t="str">
        <f t="shared" si="0"/>
        <v>S</v>
      </c>
      <c r="J41" s="39">
        <v>19</v>
      </c>
      <c r="K41" s="39" t="s">
        <v>30</v>
      </c>
      <c r="L41" s="69">
        <f t="shared" si="1"/>
        <v>0.5</v>
      </c>
      <c r="M41" s="39">
        <f ca="1">VLOOKUP(L41,OFFSET(car31,0,12),2)</f>
        <v>53</v>
      </c>
      <c r="N41" s="70">
        <f ca="1">VLOOKUP(L41,OFFSET(car31,0,12),3)</f>
        <v>3</v>
      </c>
      <c r="P41" s="24"/>
      <c r="Q41" s="23"/>
      <c r="R41" s="23"/>
      <c r="S41" s="35"/>
      <c r="T41" s="35"/>
      <c r="U41" s="35"/>
      <c r="V41" s="35"/>
      <c r="W41" s="35"/>
      <c r="X41" s="23"/>
      <c r="Y41" s="23"/>
      <c r="Z41" s="23"/>
      <c r="AA41" s="23"/>
      <c r="AB41" s="23"/>
    </row>
    <row r="42" spans="1:28" ht="12.75">
      <c r="A42" s="41">
        <v>1</v>
      </c>
      <c r="B42" s="59">
        <v>17</v>
      </c>
      <c r="C42" s="59">
        <v>12</v>
      </c>
      <c r="D42" s="59">
        <v>11.5</v>
      </c>
      <c r="E42" s="59">
        <v>0.2</v>
      </c>
      <c r="F42" s="59">
        <v>0</v>
      </c>
      <c r="G42" s="60">
        <v>6</v>
      </c>
      <c r="H42" s="60">
        <v>110</v>
      </c>
      <c r="I42" s="60" t="str">
        <f aca="true" t="shared" si="2" ref="I42:I71">VLOOKUP(H42,WIND,2)</f>
        <v>E</v>
      </c>
      <c r="J42" s="60">
        <v>15</v>
      </c>
      <c r="K42" s="60" t="s">
        <v>30</v>
      </c>
      <c r="L42" s="71">
        <f t="shared" si="1"/>
        <v>0.5</v>
      </c>
      <c r="M42" s="60">
        <f ca="1">VLOOKUP(L42,OFFSET(car1j,0,12),2)</f>
        <v>40</v>
      </c>
      <c r="N42" s="72">
        <f ca="1">VLOOKUP(L42,OFFSET(car1j,0,12),3)</f>
        <v>0</v>
      </c>
      <c r="P42" s="24"/>
      <c r="Q42" s="23"/>
      <c r="R42" s="23"/>
      <c r="S42" s="35"/>
      <c r="T42" s="35"/>
      <c r="U42" s="35"/>
      <c r="V42" s="35"/>
      <c r="W42" s="35"/>
      <c r="X42" s="23"/>
      <c r="Y42" s="23"/>
      <c r="Z42" s="23"/>
      <c r="AA42" s="23"/>
      <c r="AB42" s="23"/>
    </row>
    <row r="43" spans="1:28" ht="12.75">
      <c r="A43" s="41">
        <v>2</v>
      </c>
      <c r="B43" s="59">
        <v>20.5</v>
      </c>
      <c r="C43" s="59">
        <v>11.3</v>
      </c>
      <c r="D43" s="59">
        <v>8.7</v>
      </c>
      <c r="E43" s="59">
        <v>0</v>
      </c>
      <c r="F43" s="59">
        <v>11.5</v>
      </c>
      <c r="G43" s="60">
        <v>6</v>
      </c>
      <c r="H43" s="60">
        <v>330</v>
      </c>
      <c r="I43" s="60" t="str">
        <f t="shared" si="2"/>
        <v>NW</v>
      </c>
      <c r="J43" s="60">
        <v>17</v>
      </c>
      <c r="K43" s="60" t="s">
        <v>30</v>
      </c>
      <c r="L43" s="71">
        <f t="shared" si="1"/>
        <v>0.5</v>
      </c>
      <c r="M43" s="60">
        <f ca="1">VLOOKUP(L43,OFFSET(car2j,0,12),2)</f>
        <v>10</v>
      </c>
      <c r="N43" s="72">
        <f ca="1">VLOOKUP(L43,OFFSET(car2j,0,12),3)</f>
        <v>0</v>
      </c>
      <c r="P43" s="23"/>
      <c r="Q43" s="23"/>
      <c r="R43" s="23"/>
      <c r="S43" s="35"/>
      <c r="T43" s="35"/>
      <c r="U43" s="35"/>
      <c r="V43" s="35"/>
      <c r="W43" s="35"/>
      <c r="X43" s="23"/>
      <c r="Y43" s="23"/>
      <c r="Z43" s="23"/>
      <c r="AA43" s="23"/>
      <c r="AB43" s="23"/>
    </row>
    <row r="44" spans="1:28" ht="12.75">
      <c r="A44" s="41">
        <v>3</v>
      </c>
      <c r="B44" s="59">
        <v>20.6</v>
      </c>
      <c r="C44" s="59">
        <v>11.4</v>
      </c>
      <c r="D44" s="59">
        <v>6.8</v>
      </c>
      <c r="E44" s="59">
        <v>0.2</v>
      </c>
      <c r="F44" s="59">
        <v>5.1</v>
      </c>
      <c r="G44" s="60">
        <v>5</v>
      </c>
      <c r="H44" s="60">
        <v>340</v>
      </c>
      <c r="I44" s="60" t="str">
        <f t="shared" si="2"/>
        <v>N</v>
      </c>
      <c r="J44" s="60">
        <v>16</v>
      </c>
      <c r="K44" s="60" t="s">
        <v>30</v>
      </c>
      <c r="L44" s="71">
        <f aca="true" t="shared" si="3" ref="L44:L71">$L$11</f>
        <v>0.5</v>
      </c>
      <c r="M44" s="60">
        <f ca="1">VLOOKUP(L44,OFFSET(car3j,0,12),2)</f>
        <v>40</v>
      </c>
      <c r="N44" s="72">
        <f ca="1">VLOOKUP(L44,OFFSET(car3j,0,12),3)</f>
        <v>5</v>
      </c>
      <c r="P44" s="23"/>
      <c r="Q44" s="23"/>
      <c r="R44" s="23"/>
      <c r="S44" s="35"/>
      <c r="T44" s="35"/>
      <c r="U44" s="35"/>
      <c r="V44" s="35"/>
      <c r="W44" s="35"/>
      <c r="X44" s="23"/>
      <c r="Y44" s="23"/>
      <c r="Z44" s="23"/>
      <c r="AA44" s="23"/>
      <c r="AB44" s="23"/>
    </row>
    <row r="45" spans="1:28" ht="12.75">
      <c r="A45" s="41">
        <v>4</v>
      </c>
      <c r="B45" s="59">
        <v>23.3</v>
      </c>
      <c r="C45" s="59">
        <v>15.2</v>
      </c>
      <c r="D45" s="59">
        <v>13.7</v>
      </c>
      <c r="E45" s="59">
        <v>0</v>
      </c>
      <c r="F45" s="59">
        <v>6</v>
      </c>
      <c r="G45" s="60">
        <v>8</v>
      </c>
      <c r="H45" s="60">
        <v>300</v>
      </c>
      <c r="I45" s="60" t="str">
        <f t="shared" si="2"/>
        <v>NW</v>
      </c>
      <c r="J45" s="60">
        <v>21</v>
      </c>
      <c r="K45" s="60" t="s">
        <v>30</v>
      </c>
      <c r="L45" s="71">
        <f t="shared" si="3"/>
        <v>0.5</v>
      </c>
      <c r="M45" s="60">
        <f ca="1">VLOOKUP(L45,OFFSET(car4j,0,12),2)</f>
        <v>8</v>
      </c>
      <c r="N45" s="72">
        <f ca="1">VLOOKUP(L45,OFFSET(car4j,0,12),3)</f>
        <v>0</v>
      </c>
      <c r="P45" s="23"/>
      <c r="Q45" s="23"/>
      <c r="R45" s="23"/>
      <c r="S45" s="35"/>
      <c r="T45" s="35"/>
      <c r="U45" s="35"/>
      <c r="V45" s="35"/>
      <c r="W45" s="35"/>
      <c r="X45" s="23"/>
      <c r="Y45" s="23"/>
      <c r="Z45" s="23"/>
      <c r="AA45" s="23"/>
      <c r="AB45" s="23"/>
    </row>
    <row r="46" spans="1:28" ht="12.75">
      <c r="A46" s="41">
        <v>5</v>
      </c>
      <c r="B46" s="59">
        <v>20.3</v>
      </c>
      <c r="C46" s="59">
        <v>15.9</v>
      </c>
      <c r="D46" s="59">
        <v>11.9</v>
      </c>
      <c r="E46" s="59">
        <v>0</v>
      </c>
      <c r="F46" s="59">
        <v>1.1</v>
      </c>
      <c r="G46" s="60">
        <v>5</v>
      </c>
      <c r="H46" s="60">
        <v>330</v>
      </c>
      <c r="I46" s="60" t="str">
        <f t="shared" si="2"/>
        <v>NW</v>
      </c>
      <c r="J46" s="60">
        <v>14</v>
      </c>
      <c r="K46" s="60" t="s">
        <v>30</v>
      </c>
      <c r="L46" s="71">
        <f t="shared" si="3"/>
        <v>0.5</v>
      </c>
      <c r="M46" s="60">
        <f ca="1">VLOOKUP(L46,OFFSET(car5j,0,12),2)</f>
        <v>10</v>
      </c>
      <c r="N46" s="72">
        <f ca="1">VLOOKUP(L46,OFFSET(car5j,0,12),3)</f>
        <v>0</v>
      </c>
      <c r="P46" s="23"/>
      <c r="Q46" s="23"/>
      <c r="R46" s="23"/>
      <c r="S46" s="35"/>
      <c r="T46" s="35"/>
      <c r="U46" s="35"/>
      <c r="V46" s="35"/>
      <c r="W46" s="35"/>
      <c r="X46" s="23"/>
      <c r="Y46" s="36"/>
      <c r="Z46" s="36"/>
      <c r="AA46" s="36"/>
      <c r="AB46" s="36"/>
    </row>
    <row r="47" spans="1:28" ht="12.75">
      <c r="A47" s="41">
        <v>6</v>
      </c>
      <c r="B47" s="59">
        <v>24.4</v>
      </c>
      <c r="C47" s="59">
        <v>14.3</v>
      </c>
      <c r="D47" s="59">
        <v>7.3</v>
      </c>
      <c r="E47" s="59">
        <v>0</v>
      </c>
      <c r="F47" s="59">
        <v>3.9</v>
      </c>
      <c r="G47" s="60">
        <v>6</v>
      </c>
      <c r="H47" s="60">
        <v>250</v>
      </c>
      <c r="I47" s="60" t="str">
        <f t="shared" si="2"/>
        <v>W</v>
      </c>
      <c r="J47" s="60">
        <v>16</v>
      </c>
      <c r="K47" s="60" t="s">
        <v>30</v>
      </c>
      <c r="L47" s="71">
        <f t="shared" si="3"/>
        <v>0.5</v>
      </c>
      <c r="M47" s="60">
        <f ca="1">VLOOKUP(L47,OFFSET(car6j,0,12),2)</f>
        <v>42</v>
      </c>
      <c r="N47" s="72">
        <f ca="1">VLOOKUP(L47,OFFSET(car6j,0,12),3)</f>
        <v>3</v>
      </c>
      <c r="P47" s="32"/>
      <c r="Q47" s="32"/>
      <c r="R47" s="32"/>
      <c r="S47" s="34"/>
      <c r="T47" s="34"/>
      <c r="U47" s="34"/>
      <c r="V47" s="34"/>
      <c r="W47" s="34"/>
      <c r="X47" s="32"/>
      <c r="Y47" s="32"/>
      <c r="Z47" s="32"/>
      <c r="AA47" s="32"/>
      <c r="AB47" s="32"/>
    </row>
    <row r="48" spans="1:28" ht="12.75">
      <c r="A48" s="41">
        <v>7</v>
      </c>
      <c r="B48" s="59">
        <v>27.7</v>
      </c>
      <c r="C48" s="59">
        <v>14.3</v>
      </c>
      <c r="D48" s="59">
        <v>7</v>
      </c>
      <c r="E48" s="59">
        <v>0</v>
      </c>
      <c r="F48" s="59">
        <v>13.6</v>
      </c>
      <c r="G48" s="60">
        <v>6</v>
      </c>
      <c r="H48" s="60">
        <v>200</v>
      </c>
      <c r="I48" s="60" t="str">
        <f t="shared" si="2"/>
        <v>S</v>
      </c>
      <c r="J48" s="60">
        <v>18</v>
      </c>
      <c r="K48" s="60" t="s">
        <v>30</v>
      </c>
      <c r="L48" s="71">
        <f t="shared" si="3"/>
        <v>0.5</v>
      </c>
      <c r="M48" s="60">
        <f ca="1">VLOOKUP(L48,OFFSET(car7j,0,12),2)</f>
        <v>73</v>
      </c>
      <c r="N48" s="72">
        <f ca="1">VLOOKUP(L48,OFFSET(car7j,0,12),3)</f>
        <v>3</v>
      </c>
      <c r="P48" s="32"/>
      <c r="Q48" s="32"/>
      <c r="R48" s="32"/>
      <c r="S48" s="34"/>
      <c r="T48" s="34"/>
      <c r="U48" s="34"/>
      <c r="V48" s="34"/>
      <c r="W48" s="34"/>
      <c r="X48" s="32"/>
      <c r="Y48" s="32"/>
      <c r="Z48" s="32"/>
      <c r="AA48" s="32"/>
      <c r="AB48" s="32"/>
    </row>
    <row r="49" spans="1:14" ht="12.75">
      <c r="A49" s="41">
        <v>8</v>
      </c>
      <c r="B49" s="59">
        <v>30.5</v>
      </c>
      <c r="C49" s="59">
        <v>16</v>
      </c>
      <c r="D49" s="59">
        <v>8.1</v>
      </c>
      <c r="E49" s="59">
        <v>0</v>
      </c>
      <c r="F49" s="59">
        <v>11.4</v>
      </c>
      <c r="G49" s="60">
        <v>8</v>
      </c>
      <c r="H49" s="60">
        <v>140</v>
      </c>
      <c r="I49" s="60" t="str">
        <f t="shared" si="2"/>
        <v>SE</v>
      </c>
      <c r="J49" s="60">
        <v>24</v>
      </c>
      <c r="K49" s="60" t="s">
        <v>30</v>
      </c>
      <c r="L49" s="71">
        <f t="shared" si="3"/>
        <v>0.5</v>
      </c>
      <c r="M49" s="60">
        <f ca="1">VLOOKUP(L49,OFFSET(car8j,0,12),2)</f>
        <v>101</v>
      </c>
      <c r="N49" s="72">
        <f ca="1">VLOOKUP(L49,OFFSET(car8j,0,12),3)</f>
        <v>5</v>
      </c>
    </row>
    <row r="50" spans="1:18" ht="12.75">
      <c r="A50" s="41">
        <v>9</v>
      </c>
      <c r="B50" s="59">
        <v>24</v>
      </c>
      <c r="C50" s="59">
        <v>14.8</v>
      </c>
      <c r="D50" s="59">
        <v>13.4</v>
      </c>
      <c r="E50" s="59">
        <v>0</v>
      </c>
      <c r="F50" s="59">
        <v>5.4</v>
      </c>
      <c r="G50" s="60">
        <v>8</v>
      </c>
      <c r="H50" s="60">
        <v>240</v>
      </c>
      <c r="I50" s="60" t="str">
        <f t="shared" si="2"/>
        <v>SW</v>
      </c>
      <c r="J50" s="60">
        <v>18</v>
      </c>
      <c r="K50" s="60" t="s">
        <v>30</v>
      </c>
      <c r="L50" s="71">
        <f t="shared" si="3"/>
        <v>0.5</v>
      </c>
      <c r="M50" s="60">
        <f ca="1">VLOOKUP(L50,OFFSET(car9j,0,12),2)</f>
        <v>32</v>
      </c>
      <c r="N50" s="72">
        <f ca="1">VLOOKUP(L50,OFFSET(car9j,0,12),3)</f>
        <v>3</v>
      </c>
      <c r="R50" s="33"/>
    </row>
    <row r="51" spans="1:14" ht="12.75">
      <c r="A51" s="41">
        <v>10</v>
      </c>
      <c r="B51" s="59">
        <v>24.6</v>
      </c>
      <c r="C51" s="59">
        <v>14.7</v>
      </c>
      <c r="D51" s="59">
        <v>12.6</v>
      </c>
      <c r="E51" s="59">
        <v>0</v>
      </c>
      <c r="F51" s="59">
        <v>6.6</v>
      </c>
      <c r="G51" s="60">
        <v>9</v>
      </c>
      <c r="H51" s="60">
        <v>220</v>
      </c>
      <c r="I51" s="60" t="str">
        <f t="shared" si="2"/>
        <v>SW</v>
      </c>
      <c r="J51" s="60">
        <v>24</v>
      </c>
      <c r="K51" s="60" t="s">
        <v>30</v>
      </c>
      <c r="L51" s="71">
        <f t="shared" si="3"/>
        <v>0.5</v>
      </c>
      <c r="M51" s="60">
        <f ca="1">VLOOKUP(L51,OFFSET(car10j,0,12),2)</f>
        <v>53</v>
      </c>
      <c r="N51" s="72">
        <f ca="1">VLOOKUP(L51,OFFSET(car10j,0,12),3)</f>
        <v>21</v>
      </c>
    </row>
    <row r="52" spans="1:14" ht="12.75">
      <c r="A52" s="41">
        <v>11</v>
      </c>
      <c r="B52" s="59">
        <v>22.1</v>
      </c>
      <c r="C52" s="59">
        <v>13.5</v>
      </c>
      <c r="D52" s="59">
        <v>11.1</v>
      </c>
      <c r="E52" s="59">
        <v>0</v>
      </c>
      <c r="F52" s="59">
        <v>10.8</v>
      </c>
      <c r="G52" s="60">
        <v>11</v>
      </c>
      <c r="H52" s="60">
        <v>270</v>
      </c>
      <c r="I52" s="60" t="str">
        <f t="shared" si="2"/>
        <v>W</v>
      </c>
      <c r="J52" s="60">
        <v>25</v>
      </c>
      <c r="K52" s="60" t="s">
        <v>30</v>
      </c>
      <c r="L52" s="71">
        <f t="shared" si="3"/>
        <v>0.5</v>
      </c>
      <c r="M52" s="60">
        <f ca="1">VLOOKUP(L52,OFFSET(car11j,0,12),2)</f>
        <v>21</v>
      </c>
      <c r="N52" s="72">
        <f ca="1">VLOOKUP(L52,OFFSET(car11j,0,12),3)</f>
        <v>0</v>
      </c>
    </row>
    <row r="53" spans="1:14" ht="12.75">
      <c r="A53" s="41">
        <v>12</v>
      </c>
      <c r="B53" s="59">
        <v>21.7</v>
      </c>
      <c r="C53" s="59">
        <v>11.5</v>
      </c>
      <c r="D53" s="59">
        <v>10.2</v>
      </c>
      <c r="E53" s="59">
        <v>0</v>
      </c>
      <c r="F53" s="59">
        <v>7.7</v>
      </c>
      <c r="G53" s="60">
        <v>8</v>
      </c>
      <c r="H53" s="60">
        <v>310</v>
      </c>
      <c r="I53" s="60" t="str">
        <f t="shared" si="2"/>
        <v>NW</v>
      </c>
      <c r="J53" s="60">
        <v>21</v>
      </c>
      <c r="K53" s="60" t="s">
        <v>30</v>
      </c>
      <c r="L53" s="71">
        <f t="shared" si="3"/>
        <v>0.5</v>
      </c>
      <c r="M53" s="60">
        <f ca="1">VLOOKUP(L53,OFFSET(car12j,0,12),2)</f>
        <v>10</v>
      </c>
      <c r="N53" s="72">
        <f ca="1">VLOOKUP(L53,OFFSET(car12j,0,12),3)</f>
        <v>0</v>
      </c>
    </row>
    <row r="54" spans="1:14" ht="12.75">
      <c r="A54" s="41">
        <v>13</v>
      </c>
      <c r="B54" s="59">
        <v>25.3</v>
      </c>
      <c r="C54" s="59">
        <v>12</v>
      </c>
      <c r="D54" s="59">
        <v>6.5</v>
      </c>
      <c r="E54" s="59">
        <v>0</v>
      </c>
      <c r="F54" s="59">
        <v>15.2</v>
      </c>
      <c r="G54" s="60">
        <v>5</v>
      </c>
      <c r="H54" s="60">
        <v>310</v>
      </c>
      <c r="I54" s="60" t="str">
        <f t="shared" si="2"/>
        <v>NW</v>
      </c>
      <c r="J54" s="60">
        <v>17</v>
      </c>
      <c r="K54" s="60" t="s">
        <v>30</v>
      </c>
      <c r="L54" s="71">
        <f t="shared" si="3"/>
        <v>0.5</v>
      </c>
      <c r="M54" s="60">
        <f ca="1">VLOOKUP(L54,OFFSET(car13j,0,12),2)</f>
        <v>4</v>
      </c>
      <c r="N54" s="72">
        <f ca="1">VLOOKUP(L54,OFFSET(car13j,0,12),3)</f>
        <v>0</v>
      </c>
    </row>
    <row r="55" spans="1:14" ht="12.75">
      <c r="A55" s="41">
        <v>14</v>
      </c>
      <c r="B55" s="59">
        <v>29</v>
      </c>
      <c r="C55" s="59">
        <v>14.6</v>
      </c>
      <c r="D55" s="59">
        <v>12.6</v>
      </c>
      <c r="E55" s="59">
        <v>0</v>
      </c>
      <c r="F55" s="59">
        <v>11.6</v>
      </c>
      <c r="G55" s="60">
        <v>6</v>
      </c>
      <c r="H55" s="60">
        <v>260</v>
      </c>
      <c r="I55" s="60" t="str">
        <f t="shared" si="2"/>
        <v>W</v>
      </c>
      <c r="J55" s="60">
        <v>17</v>
      </c>
      <c r="K55" s="60" t="s">
        <v>30</v>
      </c>
      <c r="L55" s="71">
        <f t="shared" si="3"/>
        <v>0.5</v>
      </c>
      <c r="M55" s="60">
        <f ca="1">VLOOKUP(L55,OFFSET(car14j,0,12),2)</f>
        <v>10</v>
      </c>
      <c r="N55" s="72">
        <f ca="1">VLOOKUP(L55,OFFSET(car14j,0,12),3)</f>
        <v>0</v>
      </c>
    </row>
    <row r="56" spans="1:14" ht="12.75">
      <c r="A56" s="41">
        <v>15</v>
      </c>
      <c r="B56" s="59">
        <v>27</v>
      </c>
      <c r="C56" s="59">
        <v>14.8</v>
      </c>
      <c r="D56" s="59">
        <v>12.4</v>
      </c>
      <c r="E56" s="59">
        <v>0</v>
      </c>
      <c r="F56" s="59">
        <v>12.7</v>
      </c>
      <c r="G56" s="60">
        <v>7</v>
      </c>
      <c r="H56" s="60">
        <v>290</v>
      </c>
      <c r="I56" s="60" t="str">
        <f t="shared" si="2"/>
        <v>W</v>
      </c>
      <c r="J56" s="60">
        <v>23</v>
      </c>
      <c r="K56" s="60" t="s">
        <v>30</v>
      </c>
      <c r="L56" s="71">
        <f t="shared" si="3"/>
        <v>0.5</v>
      </c>
      <c r="M56" s="60">
        <f ca="1">VLOOKUP(L56,OFFSET(car15j,0,12),2)</f>
        <v>8</v>
      </c>
      <c r="N56" s="72">
        <f ca="1">VLOOKUP(L56,OFFSET(car15j,0,12),3)</f>
        <v>0</v>
      </c>
    </row>
    <row r="57" spans="1:14" ht="12.75">
      <c r="A57" s="41">
        <v>16</v>
      </c>
      <c r="B57" s="59">
        <v>26.8</v>
      </c>
      <c r="C57" s="59">
        <v>13.1</v>
      </c>
      <c r="D57" s="59">
        <v>10.7</v>
      </c>
      <c r="E57" s="59">
        <v>0</v>
      </c>
      <c r="F57" s="59">
        <v>13.8</v>
      </c>
      <c r="G57" s="60">
        <v>9</v>
      </c>
      <c r="H57" s="60">
        <v>310</v>
      </c>
      <c r="I57" s="60" t="str">
        <f t="shared" si="2"/>
        <v>NW</v>
      </c>
      <c r="J57" s="60">
        <v>24</v>
      </c>
      <c r="K57" s="60" t="s">
        <v>30</v>
      </c>
      <c r="L57" s="71">
        <f t="shared" si="3"/>
        <v>0.5</v>
      </c>
      <c r="M57" s="60">
        <f ca="1">VLOOKUP(L57,OFFSET(car16j,0,12),2)</f>
        <v>15</v>
      </c>
      <c r="N57" s="72">
        <f ca="1">VLOOKUP(L57,OFFSET(car16j,0,12),3)</f>
        <v>0</v>
      </c>
    </row>
    <row r="58" spans="1:14" ht="12.75">
      <c r="A58" s="41">
        <v>17</v>
      </c>
      <c r="B58" s="59">
        <v>19.3</v>
      </c>
      <c r="C58" s="59">
        <v>14.8</v>
      </c>
      <c r="D58" s="59">
        <v>13.3</v>
      </c>
      <c r="E58" s="59">
        <v>0</v>
      </c>
      <c r="F58" s="59">
        <v>4.7</v>
      </c>
      <c r="G58" s="60">
        <v>11</v>
      </c>
      <c r="H58" s="60">
        <v>280</v>
      </c>
      <c r="I58" s="60" t="str">
        <f t="shared" si="2"/>
        <v>W</v>
      </c>
      <c r="J58" s="60">
        <v>25</v>
      </c>
      <c r="K58" s="60" t="s">
        <v>30</v>
      </c>
      <c r="L58" s="71">
        <f t="shared" si="3"/>
        <v>0.5</v>
      </c>
      <c r="M58" s="60">
        <f ca="1">VLOOKUP(L58,OFFSET(car17j,0,12),2)</f>
        <v>13</v>
      </c>
      <c r="N58" s="72">
        <f ca="1">VLOOKUP(L58,OFFSET(car17j,0,12),3)</f>
        <v>5</v>
      </c>
    </row>
    <row r="59" spans="1:14" ht="12.75">
      <c r="A59" s="41">
        <v>18</v>
      </c>
      <c r="B59" s="59">
        <v>18.4</v>
      </c>
      <c r="C59" s="59">
        <v>14</v>
      </c>
      <c r="D59" s="59">
        <v>13</v>
      </c>
      <c r="E59" s="59">
        <v>0</v>
      </c>
      <c r="F59" s="59">
        <v>2.1</v>
      </c>
      <c r="G59" s="60">
        <v>8</v>
      </c>
      <c r="H59" s="60">
        <v>280</v>
      </c>
      <c r="I59" s="60" t="str">
        <f t="shared" si="2"/>
        <v>W</v>
      </c>
      <c r="J59" s="60">
        <v>25</v>
      </c>
      <c r="K59" s="60" t="s">
        <v>30</v>
      </c>
      <c r="L59" s="71">
        <f t="shared" si="3"/>
        <v>0.5</v>
      </c>
      <c r="M59" s="60">
        <f ca="1">VLOOKUP(L59,OFFSET(car18j,0,12),2)</f>
        <v>10</v>
      </c>
      <c r="N59" s="72">
        <f ca="1">VLOOKUP(L59,OFFSET(car18j,0,12),3)</f>
        <v>3</v>
      </c>
    </row>
    <row r="60" spans="1:14" ht="12.75">
      <c r="A60" s="41">
        <v>19</v>
      </c>
      <c r="B60" s="59">
        <v>19.3</v>
      </c>
      <c r="C60" s="59">
        <v>7.3</v>
      </c>
      <c r="D60" s="59">
        <v>4.3</v>
      </c>
      <c r="E60" s="59">
        <v>0</v>
      </c>
      <c r="F60" s="59">
        <v>9.9</v>
      </c>
      <c r="G60" s="60">
        <v>6</v>
      </c>
      <c r="H60" s="60">
        <v>350</v>
      </c>
      <c r="I60" s="60" t="str">
        <f t="shared" si="2"/>
        <v>N</v>
      </c>
      <c r="J60" s="60">
        <v>21</v>
      </c>
      <c r="K60" s="60" t="s">
        <v>30</v>
      </c>
      <c r="L60" s="71">
        <f t="shared" si="3"/>
        <v>0.5</v>
      </c>
      <c r="M60" s="60">
        <f ca="1">VLOOKUP(L60,OFFSET(car19j,0,12),2)</f>
        <v>4</v>
      </c>
      <c r="N60" s="72">
        <f ca="1">VLOOKUP(L60,OFFSET(car19j,0,12),3)</f>
        <v>0</v>
      </c>
    </row>
    <row r="61" spans="1:14" ht="12.75">
      <c r="A61" s="41">
        <v>20</v>
      </c>
      <c r="B61" s="59">
        <v>16.9</v>
      </c>
      <c r="C61" s="59">
        <v>7.4</v>
      </c>
      <c r="D61" s="59">
        <v>5.6</v>
      </c>
      <c r="E61" s="59">
        <v>8.2</v>
      </c>
      <c r="F61" s="59">
        <v>6.2</v>
      </c>
      <c r="G61" s="60">
        <v>8</v>
      </c>
      <c r="H61" s="60">
        <v>270</v>
      </c>
      <c r="I61" s="60" t="str">
        <f t="shared" si="2"/>
        <v>W</v>
      </c>
      <c r="J61" s="60">
        <v>27</v>
      </c>
      <c r="K61" s="60" t="s">
        <v>62</v>
      </c>
      <c r="L61" s="71">
        <f t="shared" si="3"/>
        <v>0.5</v>
      </c>
      <c r="M61" s="60">
        <f ca="1">VLOOKUP(L61,OFFSET(car20j,0,12),2)</f>
        <v>31</v>
      </c>
      <c r="N61" s="72">
        <f ca="1">VLOOKUP(L61,OFFSET(car20j,0,12),3)</f>
        <v>0</v>
      </c>
    </row>
    <row r="62" spans="1:14" ht="12.75">
      <c r="A62" s="41">
        <v>21</v>
      </c>
      <c r="B62" s="59">
        <v>19.4</v>
      </c>
      <c r="C62" s="59">
        <v>7.8</v>
      </c>
      <c r="D62" s="59">
        <v>3</v>
      </c>
      <c r="E62" s="59">
        <v>13.8</v>
      </c>
      <c r="F62" s="59">
        <v>8.3</v>
      </c>
      <c r="G62" s="60">
        <v>6</v>
      </c>
      <c r="H62" s="60">
        <v>260</v>
      </c>
      <c r="I62" s="60" t="str">
        <f t="shared" si="2"/>
        <v>W</v>
      </c>
      <c r="J62" s="60">
        <v>27</v>
      </c>
      <c r="K62" s="60" t="s">
        <v>62</v>
      </c>
      <c r="L62" s="71">
        <f t="shared" si="3"/>
        <v>0.5</v>
      </c>
      <c r="M62" s="60">
        <f ca="1">VLOOKUP(L62,OFFSET(car21j,0,12),2)</f>
        <v>53</v>
      </c>
      <c r="N62" s="72">
        <f ca="1">VLOOKUP(L62,OFFSET(car21j,0,12),3)</f>
        <v>3</v>
      </c>
    </row>
    <row r="63" spans="1:14" ht="12.75">
      <c r="A63" s="41">
        <v>22</v>
      </c>
      <c r="B63" s="59">
        <v>20.3</v>
      </c>
      <c r="C63" s="59">
        <v>9.8</v>
      </c>
      <c r="D63" s="59">
        <v>4.2</v>
      </c>
      <c r="E63" s="59">
        <v>10</v>
      </c>
      <c r="F63" s="59">
        <v>6.6</v>
      </c>
      <c r="G63" s="60">
        <v>8</v>
      </c>
      <c r="H63" s="60">
        <v>130</v>
      </c>
      <c r="I63" s="60" t="str">
        <f t="shared" si="2"/>
        <v>SE</v>
      </c>
      <c r="J63" s="60">
        <v>22</v>
      </c>
      <c r="K63" s="60" t="s">
        <v>30</v>
      </c>
      <c r="L63" s="71">
        <f t="shared" si="3"/>
        <v>0.5</v>
      </c>
      <c r="M63" s="60">
        <f ca="1">VLOOKUP(L63,OFFSET(car22j,0,12),2)</f>
        <v>76</v>
      </c>
      <c r="N63" s="72">
        <f ca="1">VLOOKUP(L63,OFFSET(car22j,0,12),3)</f>
        <v>3</v>
      </c>
    </row>
    <row r="64" spans="1:14" ht="12.75">
      <c r="A64" s="41">
        <v>23</v>
      </c>
      <c r="B64" s="59">
        <v>16.6</v>
      </c>
      <c r="C64" s="59">
        <v>13.9</v>
      </c>
      <c r="D64" s="59">
        <v>11.9</v>
      </c>
      <c r="E64" s="59">
        <v>1</v>
      </c>
      <c r="F64" s="59">
        <v>0.2</v>
      </c>
      <c r="G64" s="60">
        <v>19</v>
      </c>
      <c r="H64" s="60">
        <v>210</v>
      </c>
      <c r="I64" s="60" t="str">
        <f t="shared" si="2"/>
        <v>SW</v>
      </c>
      <c r="J64" s="60">
        <v>41</v>
      </c>
      <c r="K64" s="60" t="s">
        <v>30</v>
      </c>
      <c r="L64" s="71">
        <f t="shared" si="3"/>
        <v>0.5</v>
      </c>
      <c r="M64" s="60">
        <f ca="1">VLOOKUP(L64,OFFSET(car23j,0,12),2)</f>
        <v>42</v>
      </c>
      <c r="N64" s="72">
        <f ca="1">VLOOKUP(L64,OFFSET(car23j,0,12),3)</f>
        <v>0</v>
      </c>
    </row>
    <row r="65" spans="1:14" ht="12.75">
      <c r="A65" s="41">
        <v>24</v>
      </c>
      <c r="B65" s="59">
        <v>19.7</v>
      </c>
      <c r="C65" s="59">
        <v>11.9</v>
      </c>
      <c r="D65" s="59">
        <v>10.2</v>
      </c>
      <c r="E65" s="59">
        <v>0.2</v>
      </c>
      <c r="F65" s="59">
        <v>14</v>
      </c>
      <c r="G65" s="60">
        <v>17</v>
      </c>
      <c r="H65" s="60">
        <v>260</v>
      </c>
      <c r="I65" s="60" t="str">
        <f t="shared" si="2"/>
        <v>W</v>
      </c>
      <c r="J65" s="60">
        <v>37</v>
      </c>
      <c r="K65" s="60" t="s">
        <v>30</v>
      </c>
      <c r="L65" s="71">
        <f t="shared" si="3"/>
        <v>0.5</v>
      </c>
      <c r="M65" s="60">
        <f ca="1">VLOOKUP(L65,OFFSET(car24j,0,12),2)</f>
        <v>19</v>
      </c>
      <c r="N65" s="72">
        <f ca="1">VLOOKUP(L65,OFFSET(car24j,0,12),3)</f>
        <v>0</v>
      </c>
    </row>
    <row r="66" spans="1:14" ht="12.75">
      <c r="A66" s="41">
        <v>25</v>
      </c>
      <c r="B66" s="59">
        <v>21.5</v>
      </c>
      <c r="C66" s="59">
        <v>9.5</v>
      </c>
      <c r="D66" s="59">
        <v>7.8</v>
      </c>
      <c r="E66" s="59">
        <v>0</v>
      </c>
      <c r="F66" s="59">
        <v>13.7</v>
      </c>
      <c r="G66" s="60">
        <v>8</v>
      </c>
      <c r="H66" s="60">
        <v>280</v>
      </c>
      <c r="I66" s="60" t="str">
        <f t="shared" si="2"/>
        <v>W</v>
      </c>
      <c r="J66" s="60">
        <v>19</v>
      </c>
      <c r="K66" s="60" t="s">
        <v>30</v>
      </c>
      <c r="L66" s="71">
        <f t="shared" si="3"/>
        <v>0.5</v>
      </c>
      <c r="M66" s="60">
        <f ca="1">VLOOKUP(L66,OFFSET(car25j,0,12),2)</f>
        <v>48</v>
      </c>
      <c r="N66" s="72">
        <f ca="1">VLOOKUP(L66,OFFSET(car25j,0,12),3)</f>
        <v>8</v>
      </c>
    </row>
    <row r="67" spans="1:14" ht="12.75">
      <c r="A67" s="41">
        <v>26</v>
      </c>
      <c r="B67" s="59">
        <v>19.5</v>
      </c>
      <c r="C67" s="59">
        <v>10</v>
      </c>
      <c r="D67" s="59">
        <v>4.3</v>
      </c>
      <c r="E67" s="59">
        <v>1.2</v>
      </c>
      <c r="F67" s="59">
        <v>0</v>
      </c>
      <c r="G67" s="60">
        <v>8</v>
      </c>
      <c r="H67" s="60">
        <v>150</v>
      </c>
      <c r="I67" s="60" t="str">
        <f t="shared" si="2"/>
        <v>SE</v>
      </c>
      <c r="J67" s="60">
        <v>23</v>
      </c>
      <c r="K67" s="60" t="s">
        <v>30</v>
      </c>
      <c r="L67" s="71">
        <f t="shared" si="3"/>
        <v>0.5</v>
      </c>
      <c r="M67" s="60">
        <f ca="1">VLOOKUP(L67,OFFSET(car26j,0,12),2)</f>
        <v>65</v>
      </c>
      <c r="N67" s="72">
        <f ca="1">VLOOKUP(L67,OFFSET(car26j,0,12),3)</f>
        <v>3</v>
      </c>
    </row>
    <row r="68" spans="1:14" ht="12.75">
      <c r="A68" s="41">
        <v>27</v>
      </c>
      <c r="B68" s="59">
        <v>23.6</v>
      </c>
      <c r="C68" s="59">
        <v>14.8</v>
      </c>
      <c r="D68" s="59">
        <v>14.1</v>
      </c>
      <c r="E68" s="59">
        <v>5.6</v>
      </c>
      <c r="F68" s="59">
        <v>9.8</v>
      </c>
      <c r="G68" s="60">
        <v>10</v>
      </c>
      <c r="H68" s="60">
        <v>260</v>
      </c>
      <c r="I68" s="60" t="str">
        <f t="shared" si="2"/>
        <v>W</v>
      </c>
      <c r="J68" s="60">
        <v>28</v>
      </c>
      <c r="K68" s="60" t="s">
        <v>62</v>
      </c>
      <c r="L68" s="71">
        <f t="shared" si="3"/>
        <v>0.5</v>
      </c>
      <c r="M68" s="60">
        <f ca="1">VLOOKUP(L68,OFFSET(car27j,0,12),2)</f>
        <v>34</v>
      </c>
      <c r="N68" s="72">
        <f ca="1">VLOOKUP(L68,OFFSET(car27j,0,12),3)</f>
        <v>3</v>
      </c>
    </row>
    <row r="69" spans="1:14" ht="12.75">
      <c r="A69" s="41">
        <v>28</v>
      </c>
      <c r="B69" s="59">
        <v>20.6</v>
      </c>
      <c r="C69" s="59">
        <v>10.2</v>
      </c>
      <c r="D69" s="59">
        <v>8.9</v>
      </c>
      <c r="E69" s="59">
        <v>0</v>
      </c>
      <c r="F69" s="59">
        <v>11.5</v>
      </c>
      <c r="G69" s="60">
        <v>9</v>
      </c>
      <c r="H69" s="60">
        <v>280</v>
      </c>
      <c r="I69" s="60" t="str">
        <f t="shared" si="2"/>
        <v>W</v>
      </c>
      <c r="J69" s="60">
        <v>23</v>
      </c>
      <c r="K69" s="60" t="s">
        <v>30</v>
      </c>
      <c r="L69" s="71">
        <f t="shared" si="3"/>
        <v>0.5</v>
      </c>
      <c r="M69" s="60">
        <f ca="1">VLOOKUP(L69,OFFSET(car28j,0,12),2)</f>
        <v>36</v>
      </c>
      <c r="N69" s="72">
        <f ca="1">VLOOKUP(L69,OFFSET(car28j,0,12),3)</f>
        <v>0</v>
      </c>
    </row>
    <row r="70" spans="1:14" ht="12.75">
      <c r="A70" s="41">
        <v>29</v>
      </c>
      <c r="B70" s="59">
        <v>22.8</v>
      </c>
      <c r="C70" s="59">
        <v>12.1</v>
      </c>
      <c r="D70" s="59">
        <v>9.9</v>
      </c>
      <c r="E70" s="59">
        <v>0</v>
      </c>
      <c r="F70" s="59">
        <v>8</v>
      </c>
      <c r="G70" s="60">
        <v>9</v>
      </c>
      <c r="H70" s="60">
        <v>260</v>
      </c>
      <c r="I70" s="60" t="str">
        <f t="shared" si="2"/>
        <v>W</v>
      </c>
      <c r="J70" s="60">
        <v>18</v>
      </c>
      <c r="K70" s="60" t="s">
        <v>30</v>
      </c>
      <c r="L70" s="71">
        <f t="shared" si="3"/>
        <v>0.5</v>
      </c>
      <c r="M70" s="60">
        <f ca="1">VLOOKUP(L70,OFFSET(car29j,0,12),2)</f>
        <v>46</v>
      </c>
      <c r="N70" s="72">
        <f ca="1">VLOOKUP(L70,OFFSET(car29j,0,12),3)</f>
        <v>3</v>
      </c>
    </row>
    <row r="71" spans="1:14" ht="13.5" thickBot="1">
      <c r="A71" s="42">
        <v>30</v>
      </c>
      <c r="B71" s="61">
        <v>21.2</v>
      </c>
      <c r="C71" s="61">
        <v>14.4</v>
      </c>
      <c r="D71" s="61">
        <v>13.3</v>
      </c>
      <c r="E71" s="61">
        <v>0</v>
      </c>
      <c r="F71" s="61">
        <v>4.6</v>
      </c>
      <c r="G71" s="62">
        <v>11</v>
      </c>
      <c r="H71" s="62">
        <v>210</v>
      </c>
      <c r="I71" s="62" t="str">
        <f t="shared" si="2"/>
        <v>SW</v>
      </c>
      <c r="J71" s="62">
        <v>25</v>
      </c>
      <c r="K71" s="62" t="s">
        <v>30</v>
      </c>
      <c r="L71" s="73">
        <f t="shared" si="3"/>
        <v>0.5</v>
      </c>
      <c r="M71" s="62">
        <f ca="1">VLOOKUP(L71,OFFSET(car30j,0,12),2)</f>
        <v>53</v>
      </c>
      <c r="N71" s="74">
        <f ca="1">VLOOKUP(L71,OFFSET(car30j,0,12),3)</f>
        <v>5</v>
      </c>
    </row>
    <row r="72" spans="1:15" ht="13.5" thickTop="1">
      <c r="A72" s="32"/>
      <c r="B72" s="34"/>
      <c r="C72" s="34"/>
      <c r="D72" s="34"/>
      <c r="E72" s="34"/>
      <c r="F72" s="34"/>
      <c r="G72" s="34"/>
      <c r="H72" s="32"/>
      <c r="I72" s="32"/>
      <c r="J72" s="32"/>
      <c r="K72" s="32"/>
      <c r="L72" s="32"/>
      <c r="M72" s="32"/>
      <c r="N72" s="32"/>
      <c r="O72" s="32"/>
    </row>
    <row r="73" spans="1:15" ht="12.75">
      <c r="A73" s="93" t="s">
        <v>56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ht="12.75">
      <c r="A74" s="32"/>
      <c r="B74" s="34"/>
      <c r="C74" s="34"/>
      <c r="D74" s="34"/>
      <c r="E74" s="34"/>
      <c r="F74" s="34"/>
      <c r="G74" s="34"/>
      <c r="H74" s="32"/>
      <c r="I74" s="32"/>
      <c r="J74" s="32"/>
      <c r="K74" s="32"/>
      <c r="L74" s="32"/>
      <c r="M74" s="32"/>
      <c r="N74" s="32"/>
      <c r="O74" s="32"/>
    </row>
    <row r="75" spans="1:15" ht="12.75">
      <c r="A75" s="32"/>
      <c r="B75" s="34"/>
      <c r="C75" s="34"/>
      <c r="D75" s="34"/>
      <c r="E75" s="34"/>
      <c r="F75" s="34"/>
      <c r="G75" s="34"/>
      <c r="H75" s="32"/>
      <c r="I75" s="37"/>
      <c r="J75" s="37"/>
      <c r="K75" s="32"/>
      <c r="L75" s="32"/>
      <c r="M75" s="32"/>
      <c r="N75" s="32"/>
      <c r="O75" s="32"/>
    </row>
    <row r="76" spans="1:15" ht="12.75">
      <c r="A76" s="32"/>
      <c r="B76" s="34"/>
      <c r="C76" s="34"/>
      <c r="D76" s="34"/>
      <c r="E76" s="34"/>
      <c r="F76" s="34"/>
      <c r="G76" s="34"/>
      <c r="H76" s="32"/>
      <c r="I76" s="32"/>
      <c r="J76" s="32"/>
      <c r="K76" s="32"/>
      <c r="L76" s="32"/>
      <c r="M76" s="32"/>
      <c r="N76" s="32"/>
      <c r="O76" s="32"/>
    </row>
    <row r="77" spans="1:15" ht="12.75">
      <c r="A77" s="32"/>
      <c r="B77" s="34"/>
      <c r="C77" s="34"/>
      <c r="D77" s="34"/>
      <c r="E77" s="34"/>
      <c r="F77" s="34"/>
      <c r="G77" s="34"/>
      <c r="H77" s="32"/>
      <c r="I77" s="32"/>
      <c r="J77" s="32"/>
      <c r="K77" s="32"/>
      <c r="L77" s="32"/>
      <c r="M77" s="32"/>
      <c r="N77" s="32"/>
      <c r="O77" s="32"/>
    </row>
    <row r="78" spans="1:15" ht="12.75">
      <c r="A78" s="32"/>
      <c r="B78" s="34"/>
      <c r="C78" s="34"/>
      <c r="D78" s="34"/>
      <c r="E78" s="34"/>
      <c r="F78" s="34"/>
      <c r="G78" s="34"/>
      <c r="H78" s="32"/>
      <c r="I78" s="37"/>
      <c r="J78" s="37"/>
      <c r="K78" s="37"/>
      <c r="L78" s="37"/>
      <c r="M78" s="37"/>
      <c r="N78" s="37"/>
      <c r="O78" s="37"/>
    </row>
  </sheetData>
  <mergeCells count="1">
    <mergeCell ref="A73:O73"/>
  </mergeCells>
  <printOptions/>
  <pageMargins left="0.75" right="0.75" top="1" bottom="1" header="0.5" footer="0.5"/>
  <pageSetup orientation="portrait" paperSize="9" r:id="rId1"/>
  <headerFooter alignWithMargins="0">
    <oddHeader>&amp;LBEYOND FAIR TESTING&amp;C&amp;"Arial,Bold"&amp;12AIR POLLUTION&amp;RENQUIRY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1478"/>
  <sheetViews>
    <sheetView workbookViewId="0" topLeftCell="A1">
      <selection activeCell="A8" sqref="A8:IV8"/>
    </sheetView>
  </sheetViews>
  <sheetFormatPr defaultColWidth="9.140625" defaultRowHeight="12.75"/>
  <cols>
    <col min="1" max="1" width="13.57421875" style="82" customWidth="1"/>
    <col min="2" max="2" width="9.140625" style="79" customWidth="1"/>
    <col min="3" max="3" width="9.00390625" style="78" customWidth="1"/>
    <col min="4" max="4" width="8.7109375" style="79" customWidth="1"/>
    <col min="5" max="6" width="8.7109375" style="0" customWidth="1"/>
    <col min="7" max="7" width="13.57421875" style="82" customWidth="1"/>
    <col min="8" max="8" width="9.140625" style="79" customWidth="1"/>
    <col min="9" max="9" width="8.7109375" style="78" customWidth="1"/>
    <col min="10" max="10" width="9.140625" style="79" customWidth="1"/>
    <col min="13" max="13" width="13.57421875" style="82" customWidth="1"/>
    <col min="14" max="14" width="9.140625" style="79" customWidth="1"/>
    <col min="15" max="15" width="9.57421875" style="78" customWidth="1"/>
    <col min="16" max="16" width="9.140625" style="79" customWidth="1"/>
  </cols>
  <sheetData>
    <row r="1" s="1" customFormat="1" ht="12.75"/>
    <row r="2" s="1" customFormat="1" ht="12.75"/>
    <row r="3" spans="2:14" s="84" customFormat="1" ht="12.75">
      <c r="B3" s="84" t="s">
        <v>1</v>
      </c>
      <c r="H3" s="84" t="s">
        <v>2</v>
      </c>
      <c r="N3" s="84" t="s">
        <v>3</v>
      </c>
    </row>
    <row r="4" spans="1:13" s="12" customFormat="1" ht="12.75">
      <c r="A4" s="12" t="s">
        <v>68</v>
      </c>
      <c r="G4" s="12" t="s">
        <v>68</v>
      </c>
      <c r="M4" s="12" t="s">
        <v>68</v>
      </c>
    </row>
    <row r="5" spans="1:13" s="1" customFormat="1" ht="12.75">
      <c r="A5" s="1" t="s">
        <v>0</v>
      </c>
      <c r="G5" s="1" t="s">
        <v>0</v>
      </c>
      <c r="M5" s="1" t="s">
        <v>0</v>
      </c>
    </row>
    <row r="6" spans="1:13" s="1" customFormat="1" ht="12.75">
      <c r="A6" s="1" t="s">
        <v>10</v>
      </c>
      <c r="G6" s="1" t="s">
        <v>10</v>
      </c>
      <c r="M6" s="1" t="s">
        <v>10</v>
      </c>
    </row>
    <row r="7" spans="1:13" s="12" customFormat="1" ht="12.75">
      <c r="A7" s="12" t="s">
        <v>9</v>
      </c>
      <c r="G7" s="12" t="s">
        <v>9</v>
      </c>
      <c r="M7" s="12" t="s">
        <v>9</v>
      </c>
    </row>
    <row r="8" s="85" customFormat="1" ht="13.5" thickBot="1">
      <c r="A8" s="85" t="s">
        <v>67</v>
      </c>
    </row>
    <row r="9" s="1" customFormat="1" ht="12.75"/>
    <row r="10" spans="1:16" s="89" customFormat="1" ht="26.25" thickBot="1">
      <c r="A10" s="86" t="s">
        <v>4</v>
      </c>
      <c r="B10" s="87" t="s">
        <v>5</v>
      </c>
      <c r="C10" s="88" t="s">
        <v>6</v>
      </c>
      <c r="D10" s="87" t="s">
        <v>77</v>
      </c>
      <c r="G10" s="86" t="s">
        <v>4</v>
      </c>
      <c r="H10" s="87" t="s">
        <v>5</v>
      </c>
      <c r="I10" s="88" t="s">
        <v>6</v>
      </c>
      <c r="J10" s="87" t="s">
        <v>77</v>
      </c>
      <c r="M10" s="86" t="s">
        <v>4</v>
      </c>
      <c r="N10" s="87" t="s">
        <v>5</v>
      </c>
      <c r="O10" s="88" t="s">
        <v>6</v>
      </c>
      <c r="P10" s="87" t="s">
        <v>77</v>
      </c>
    </row>
    <row r="12" spans="1:16" s="92" customFormat="1" ht="12.75">
      <c r="A12" s="90">
        <v>38108</v>
      </c>
      <c r="B12" s="91">
        <v>0.041666666666666664</v>
      </c>
      <c r="C12" s="92">
        <v>15</v>
      </c>
      <c r="D12" s="92">
        <v>0</v>
      </c>
      <c r="G12" s="90">
        <v>38108</v>
      </c>
      <c r="H12" s="91">
        <v>0.041666666666666664</v>
      </c>
      <c r="I12" s="92">
        <v>11</v>
      </c>
      <c r="J12" s="92">
        <v>0</v>
      </c>
      <c r="M12" s="90">
        <v>38108</v>
      </c>
      <c r="N12" s="91">
        <v>0.041666666666666664</v>
      </c>
      <c r="O12" s="92">
        <v>6</v>
      </c>
      <c r="P12" s="92">
        <v>0</v>
      </c>
    </row>
    <row r="13" spans="1:16" ht="12.75">
      <c r="A13" s="83">
        <v>38108</v>
      </c>
      <c r="B13" s="80">
        <v>0.08333333333333333</v>
      </c>
      <c r="C13" s="78">
        <v>15</v>
      </c>
      <c r="D13" s="79">
        <v>0</v>
      </c>
      <c r="G13" s="83">
        <v>38108</v>
      </c>
      <c r="H13" s="80">
        <v>0.08333333333333333</v>
      </c>
      <c r="I13" s="78">
        <v>13</v>
      </c>
      <c r="J13" s="79">
        <v>0</v>
      </c>
      <c r="M13" s="83">
        <v>38108</v>
      </c>
      <c r="N13" s="80">
        <v>0.08333333333333333</v>
      </c>
      <c r="O13" s="78">
        <v>10</v>
      </c>
      <c r="P13" s="79">
        <v>0</v>
      </c>
    </row>
    <row r="14" spans="1:16" ht="12.75">
      <c r="A14" s="83">
        <v>38108</v>
      </c>
      <c r="B14" s="80">
        <v>0.125</v>
      </c>
      <c r="C14" s="78">
        <v>17</v>
      </c>
      <c r="D14" s="79">
        <v>5</v>
      </c>
      <c r="G14" s="83">
        <v>38108</v>
      </c>
      <c r="H14" s="80">
        <v>0.125</v>
      </c>
      <c r="I14" s="78">
        <v>10</v>
      </c>
      <c r="J14" s="79">
        <v>0</v>
      </c>
      <c r="M14" s="83">
        <v>38108</v>
      </c>
      <c r="N14" s="80">
        <v>0.125</v>
      </c>
      <c r="O14" s="78">
        <v>8</v>
      </c>
      <c r="P14" s="79">
        <v>0</v>
      </c>
    </row>
    <row r="15" spans="1:16" ht="12.75">
      <c r="A15" s="83">
        <v>38108</v>
      </c>
      <c r="B15" s="80">
        <v>0.16666666666666666</v>
      </c>
      <c r="C15" s="78">
        <v>19</v>
      </c>
      <c r="D15" s="79">
        <v>5</v>
      </c>
      <c r="G15" s="83">
        <v>38108</v>
      </c>
      <c r="H15" s="80">
        <v>0.16666666666666666</v>
      </c>
      <c r="I15" s="78">
        <v>8</v>
      </c>
      <c r="J15" s="79">
        <v>0</v>
      </c>
      <c r="M15" s="83">
        <v>38108</v>
      </c>
      <c r="N15" s="80">
        <v>0.16666666666666666</v>
      </c>
      <c r="O15" s="78">
        <v>8</v>
      </c>
      <c r="P15" s="79">
        <v>0</v>
      </c>
    </row>
    <row r="16" spans="1:16" ht="12.75">
      <c r="A16" s="83">
        <v>38108</v>
      </c>
      <c r="B16" s="80">
        <v>0.20833333333333334</v>
      </c>
      <c r="C16" s="78">
        <v>17</v>
      </c>
      <c r="D16" s="79">
        <v>3</v>
      </c>
      <c r="G16" s="83">
        <v>38108</v>
      </c>
      <c r="H16" s="80">
        <v>0.20833333333333334</v>
      </c>
      <c r="I16" s="78">
        <v>10</v>
      </c>
      <c r="J16" s="79">
        <v>0</v>
      </c>
      <c r="M16" s="83">
        <v>38108</v>
      </c>
      <c r="N16" s="80">
        <v>0.20833333333333334</v>
      </c>
      <c r="O16" s="78">
        <v>8</v>
      </c>
      <c r="P16" s="79">
        <v>0</v>
      </c>
    </row>
    <row r="17" spans="1:16" ht="12.75">
      <c r="A17" s="83">
        <v>38108</v>
      </c>
      <c r="B17" s="80">
        <v>0.25</v>
      </c>
      <c r="C17" s="78">
        <v>19</v>
      </c>
      <c r="D17" s="79">
        <v>0</v>
      </c>
      <c r="G17" s="83">
        <v>38108</v>
      </c>
      <c r="H17" s="80">
        <v>0.25</v>
      </c>
      <c r="I17" s="78">
        <v>11</v>
      </c>
      <c r="J17" s="79">
        <v>0</v>
      </c>
      <c r="M17" s="83">
        <v>38108</v>
      </c>
      <c r="N17" s="80">
        <v>0.25</v>
      </c>
      <c r="O17" s="78">
        <v>13</v>
      </c>
      <c r="P17" s="79">
        <v>0</v>
      </c>
    </row>
    <row r="18" spans="1:16" ht="12.75">
      <c r="A18" s="83">
        <v>38108</v>
      </c>
      <c r="B18" s="80">
        <v>0.2916666666666667</v>
      </c>
      <c r="C18" s="78">
        <v>23</v>
      </c>
      <c r="D18" s="79">
        <v>0</v>
      </c>
      <c r="G18" s="83">
        <v>38108</v>
      </c>
      <c r="H18" s="80">
        <v>0.2916666666666667</v>
      </c>
      <c r="I18" s="78">
        <v>13</v>
      </c>
      <c r="J18" s="79">
        <v>0</v>
      </c>
      <c r="M18" s="83">
        <v>38108</v>
      </c>
      <c r="N18" s="80">
        <v>0.2916666666666667</v>
      </c>
      <c r="O18" s="78">
        <v>17</v>
      </c>
      <c r="P18" s="79">
        <v>0</v>
      </c>
    </row>
    <row r="19" spans="1:16" ht="12.75">
      <c r="A19" s="83">
        <v>38108</v>
      </c>
      <c r="B19" s="80">
        <v>0.3333333333333333</v>
      </c>
      <c r="C19" s="78">
        <v>29</v>
      </c>
      <c r="D19" s="79">
        <v>0</v>
      </c>
      <c r="G19" s="83">
        <v>38108</v>
      </c>
      <c r="H19" s="80">
        <v>0.3333333333333333</v>
      </c>
      <c r="I19" s="78">
        <v>13</v>
      </c>
      <c r="J19" s="79">
        <v>0</v>
      </c>
      <c r="M19" s="83">
        <v>38108</v>
      </c>
      <c r="N19" s="80">
        <v>0.3333333333333333</v>
      </c>
      <c r="O19" s="78">
        <v>19</v>
      </c>
      <c r="P19" s="79">
        <v>0</v>
      </c>
    </row>
    <row r="20" spans="1:16" ht="12.75">
      <c r="A20" s="83">
        <v>38108</v>
      </c>
      <c r="B20" s="80">
        <v>0.375</v>
      </c>
      <c r="C20" s="78">
        <v>29</v>
      </c>
      <c r="D20" s="79">
        <v>0</v>
      </c>
      <c r="G20" s="83">
        <v>38108</v>
      </c>
      <c r="H20" s="80">
        <v>0.375</v>
      </c>
      <c r="I20" s="78">
        <v>13</v>
      </c>
      <c r="J20" s="79">
        <v>0</v>
      </c>
      <c r="M20" s="83">
        <v>38108</v>
      </c>
      <c r="N20" s="80">
        <v>0.375</v>
      </c>
      <c r="O20" s="78">
        <v>19</v>
      </c>
      <c r="P20" s="79">
        <v>0</v>
      </c>
    </row>
    <row r="21" spans="1:16" ht="12.75">
      <c r="A21" s="83">
        <v>38108</v>
      </c>
      <c r="B21" s="80">
        <v>0.4166666666666667</v>
      </c>
      <c r="C21" s="78">
        <v>23</v>
      </c>
      <c r="D21" s="79">
        <v>0</v>
      </c>
      <c r="G21" s="83">
        <v>38108</v>
      </c>
      <c r="H21" s="80">
        <v>0.4166666666666667</v>
      </c>
      <c r="I21" s="78">
        <v>17</v>
      </c>
      <c r="J21" s="79">
        <v>0</v>
      </c>
      <c r="M21" s="83">
        <v>38108</v>
      </c>
      <c r="N21" s="80">
        <v>0.4166666666666667</v>
      </c>
      <c r="O21" s="78">
        <v>19</v>
      </c>
      <c r="P21" s="79">
        <v>0</v>
      </c>
    </row>
    <row r="22" spans="1:16" ht="12.75">
      <c r="A22" s="83">
        <v>38108</v>
      </c>
      <c r="B22" s="80">
        <v>0.4583333333333333</v>
      </c>
      <c r="C22" s="78">
        <v>25</v>
      </c>
      <c r="D22" s="79">
        <v>0</v>
      </c>
      <c r="G22" s="83">
        <v>38108</v>
      </c>
      <c r="H22" s="80">
        <v>0.4583333333333333</v>
      </c>
      <c r="I22" s="78">
        <v>15</v>
      </c>
      <c r="J22" s="79">
        <v>0</v>
      </c>
      <c r="M22" s="83">
        <v>38108</v>
      </c>
      <c r="N22" s="80">
        <v>0.4583333333333333</v>
      </c>
      <c r="O22" s="78">
        <v>21</v>
      </c>
      <c r="P22" s="79">
        <v>0</v>
      </c>
    </row>
    <row r="23" spans="1:16" ht="12.75">
      <c r="A23" s="83">
        <v>38108</v>
      </c>
      <c r="B23" s="80">
        <v>0.5</v>
      </c>
      <c r="C23" s="78">
        <v>31</v>
      </c>
      <c r="D23" s="79">
        <v>0</v>
      </c>
      <c r="G23" s="83">
        <v>38108</v>
      </c>
      <c r="H23" s="80">
        <v>0.5</v>
      </c>
      <c r="I23" s="78">
        <v>17</v>
      </c>
      <c r="J23" s="79">
        <v>0</v>
      </c>
      <c r="M23" s="83">
        <v>38108</v>
      </c>
      <c r="N23" s="80">
        <v>0.5</v>
      </c>
      <c r="O23" s="78">
        <v>25</v>
      </c>
      <c r="P23" s="79">
        <v>0</v>
      </c>
    </row>
    <row r="24" spans="1:16" ht="12.75">
      <c r="A24" s="83">
        <v>38108</v>
      </c>
      <c r="B24" s="80">
        <v>0.5416666666666666</v>
      </c>
      <c r="C24" s="78">
        <v>40</v>
      </c>
      <c r="D24" s="79">
        <v>0</v>
      </c>
      <c r="G24" s="83">
        <v>38108</v>
      </c>
      <c r="H24" s="80">
        <v>0.5416666666666666</v>
      </c>
      <c r="I24" s="78">
        <v>17</v>
      </c>
      <c r="J24" s="79">
        <v>0</v>
      </c>
      <c r="M24" s="83">
        <v>38108</v>
      </c>
      <c r="N24" s="80">
        <v>0.5416666666666666</v>
      </c>
      <c r="O24" s="78">
        <v>23</v>
      </c>
      <c r="P24" s="79">
        <v>0</v>
      </c>
    </row>
    <row r="25" spans="1:16" ht="12.75">
      <c r="A25" s="83">
        <v>38108</v>
      </c>
      <c r="B25" s="80">
        <v>0.5833333333333334</v>
      </c>
      <c r="C25" s="78">
        <v>36</v>
      </c>
      <c r="D25" s="79">
        <v>0</v>
      </c>
      <c r="G25" s="83">
        <v>38108</v>
      </c>
      <c r="H25" s="80">
        <v>0.5833333333333334</v>
      </c>
      <c r="I25" s="78">
        <v>17</v>
      </c>
      <c r="J25" s="79">
        <v>0</v>
      </c>
      <c r="M25" s="83">
        <v>38108</v>
      </c>
      <c r="N25" s="80">
        <v>0.5833333333333334</v>
      </c>
      <c r="O25" s="78">
        <v>32</v>
      </c>
      <c r="P25" s="79">
        <v>0</v>
      </c>
    </row>
    <row r="26" spans="1:16" ht="12.75">
      <c r="A26" s="83">
        <v>38108</v>
      </c>
      <c r="B26" s="80">
        <v>0.625</v>
      </c>
      <c r="C26" s="78">
        <v>34</v>
      </c>
      <c r="D26" s="79">
        <v>0</v>
      </c>
      <c r="G26" s="83">
        <v>38108</v>
      </c>
      <c r="H26" s="80">
        <v>0.625</v>
      </c>
      <c r="I26" s="78">
        <v>19</v>
      </c>
      <c r="J26" s="79">
        <v>3</v>
      </c>
      <c r="M26" s="83">
        <v>38108</v>
      </c>
      <c r="N26" s="80">
        <v>0.625</v>
      </c>
      <c r="O26" s="78">
        <v>76</v>
      </c>
      <c r="P26" s="79">
        <v>0</v>
      </c>
    </row>
    <row r="27" spans="1:16" ht="12.75">
      <c r="A27" s="83">
        <v>38108</v>
      </c>
      <c r="B27" s="80">
        <v>0.6666666666666666</v>
      </c>
      <c r="C27" s="78">
        <v>29</v>
      </c>
      <c r="D27" s="79">
        <v>0</v>
      </c>
      <c r="G27" s="83">
        <v>38108</v>
      </c>
      <c r="H27" s="80">
        <v>0.6666666666666666</v>
      </c>
      <c r="I27" s="78">
        <v>19</v>
      </c>
      <c r="J27" s="79">
        <v>3</v>
      </c>
      <c r="M27" s="83">
        <v>38108</v>
      </c>
      <c r="N27" s="80">
        <v>0.6666666666666666</v>
      </c>
      <c r="O27" s="78">
        <v>76</v>
      </c>
      <c r="P27" s="79">
        <v>0</v>
      </c>
    </row>
    <row r="28" spans="1:16" ht="12.75">
      <c r="A28" s="83">
        <v>38108</v>
      </c>
      <c r="B28" s="80">
        <v>0.7083333333333334</v>
      </c>
      <c r="C28" s="78">
        <v>32</v>
      </c>
      <c r="D28" s="79">
        <v>3</v>
      </c>
      <c r="G28" s="83">
        <v>38108</v>
      </c>
      <c r="H28" s="80">
        <v>0.7083333333333334</v>
      </c>
      <c r="I28" s="78">
        <v>23</v>
      </c>
      <c r="J28" s="79">
        <v>3</v>
      </c>
      <c r="M28" s="83">
        <v>38108</v>
      </c>
      <c r="N28" s="80">
        <v>0.7083333333333334</v>
      </c>
      <c r="O28" s="78">
        <v>52</v>
      </c>
      <c r="P28" s="79">
        <v>0</v>
      </c>
    </row>
    <row r="29" spans="1:16" ht="12.75">
      <c r="A29" s="83">
        <v>38108</v>
      </c>
      <c r="B29" s="80">
        <v>0.75</v>
      </c>
      <c r="C29" s="78">
        <v>36</v>
      </c>
      <c r="D29" s="79">
        <v>5</v>
      </c>
      <c r="G29" s="83">
        <v>38108</v>
      </c>
      <c r="H29" s="80">
        <v>0.75</v>
      </c>
      <c r="I29" s="78">
        <v>27</v>
      </c>
      <c r="J29" s="79">
        <v>3</v>
      </c>
      <c r="M29" s="83">
        <v>38108</v>
      </c>
      <c r="N29" s="80">
        <v>0.75</v>
      </c>
      <c r="O29" s="78">
        <v>42</v>
      </c>
      <c r="P29" s="79">
        <v>0</v>
      </c>
    </row>
    <row r="30" spans="1:16" ht="12.75">
      <c r="A30" s="83">
        <v>38108</v>
      </c>
      <c r="B30" s="80">
        <v>0.7916666666666666</v>
      </c>
      <c r="C30" s="78">
        <v>34</v>
      </c>
      <c r="D30" s="79">
        <v>0</v>
      </c>
      <c r="G30" s="83">
        <v>38108</v>
      </c>
      <c r="H30" s="80">
        <v>0.7916666666666666</v>
      </c>
      <c r="I30" s="78">
        <v>25</v>
      </c>
      <c r="J30" s="79">
        <v>3</v>
      </c>
      <c r="M30" s="83">
        <v>38108</v>
      </c>
      <c r="N30" s="80">
        <v>0.7916666666666666</v>
      </c>
      <c r="O30" s="78">
        <v>44</v>
      </c>
      <c r="P30" s="79">
        <v>0</v>
      </c>
    </row>
    <row r="31" spans="1:16" ht="12.75">
      <c r="A31" s="83">
        <v>38108</v>
      </c>
      <c r="B31" s="80">
        <v>0.8333333333333334</v>
      </c>
      <c r="C31" s="78">
        <v>42</v>
      </c>
      <c r="D31" s="79">
        <v>3</v>
      </c>
      <c r="G31" s="83">
        <v>38108</v>
      </c>
      <c r="H31" s="80">
        <v>0.8333333333333334</v>
      </c>
      <c r="I31" s="78">
        <v>42</v>
      </c>
      <c r="J31" s="79">
        <v>3</v>
      </c>
      <c r="M31" s="83">
        <v>38108</v>
      </c>
      <c r="N31" s="80">
        <v>0.8333333333333334</v>
      </c>
      <c r="O31" s="78">
        <v>48</v>
      </c>
      <c r="P31" s="79">
        <v>0</v>
      </c>
    </row>
    <row r="32" spans="1:16" ht="12.75">
      <c r="A32" s="83">
        <v>38108</v>
      </c>
      <c r="B32" s="80">
        <v>0.875</v>
      </c>
      <c r="C32" s="78">
        <v>32</v>
      </c>
      <c r="D32" s="79">
        <v>0</v>
      </c>
      <c r="G32" s="83">
        <v>38108</v>
      </c>
      <c r="H32" s="80">
        <v>0.875</v>
      </c>
      <c r="I32" s="78">
        <v>55</v>
      </c>
      <c r="J32" s="79">
        <v>5</v>
      </c>
      <c r="M32" s="83">
        <v>38108</v>
      </c>
      <c r="N32" s="80">
        <v>0.875</v>
      </c>
      <c r="O32" s="78">
        <v>55</v>
      </c>
      <c r="P32" s="79">
        <v>0</v>
      </c>
    </row>
    <row r="33" spans="1:16" ht="12.75">
      <c r="A33" s="83">
        <v>38108</v>
      </c>
      <c r="B33" s="80">
        <v>0.9166666666666666</v>
      </c>
      <c r="C33" s="78">
        <v>50</v>
      </c>
      <c r="D33" s="79">
        <v>0</v>
      </c>
      <c r="G33" s="83">
        <v>38108</v>
      </c>
      <c r="H33" s="80">
        <v>0.9166666666666666</v>
      </c>
      <c r="I33" s="78">
        <v>67</v>
      </c>
      <c r="J33" s="79">
        <v>3</v>
      </c>
      <c r="M33" s="83">
        <v>38108</v>
      </c>
      <c r="N33" s="80">
        <v>0.9166666666666666</v>
      </c>
      <c r="O33" s="78">
        <v>57</v>
      </c>
      <c r="P33" s="79">
        <v>0</v>
      </c>
    </row>
    <row r="34" spans="1:16" ht="12.75">
      <c r="A34" s="83">
        <v>38108</v>
      </c>
      <c r="B34" s="80">
        <v>0.9583333333333334</v>
      </c>
      <c r="C34" s="78">
        <v>46</v>
      </c>
      <c r="D34" s="79">
        <v>3</v>
      </c>
      <c r="G34" s="83">
        <v>38108</v>
      </c>
      <c r="H34" s="80">
        <v>0.9583333333333334</v>
      </c>
      <c r="I34" s="78">
        <v>76</v>
      </c>
      <c r="J34" s="79">
        <v>5</v>
      </c>
      <c r="M34" s="83">
        <v>38108</v>
      </c>
      <c r="N34" s="80">
        <v>0.9583333333333334</v>
      </c>
      <c r="O34" s="78">
        <v>59</v>
      </c>
      <c r="P34" s="79">
        <v>0</v>
      </c>
    </row>
    <row r="35" spans="1:16" ht="12.75">
      <c r="A35" s="83">
        <v>38108</v>
      </c>
      <c r="B35" s="81">
        <v>1</v>
      </c>
      <c r="C35" s="78">
        <v>38</v>
      </c>
      <c r="D35" s="79">
        <v>3</v>
      </c>
      <c r="G35" s="83">
        <v>38108</v>
      </c>
      <c r="H35" s="81">
        <v>1</v>
      </c>
      <c r="I35" s="78">
        <v>78</v>
      </c>
      <c r="J35" s="79">
        <v>3</v>
      </c>
      <c r="M35" s="83">
        <v>38108</v>
      </c>
      <c r="N35" s="81">
        <v>1</v>
      </c>
      <c r="O35" s="78">
        <v>55</v>
      </c>
      <c r="P35" s="79">
        <v>0</v>
      </c>
    </row>
    <row r="36" spans="1:16" s="92" customFormat="1" ht="12.75">
      <c r="A36" s="90">
        <v>38109</v>
      </c>
      <c r="B36" s="91">
        <v>0.041666666666666664</v>
      </c>
      <c r="C36" s="92">
        <v>53</v>
      </c>
      <c r="D36" s="92">
        <v>3</v>
      </c>
      <c r="G36" s="90">
        <v>38109</v>
      </c>
      <c r="H36" s="91">
        <v>0.041666666666666664</v>
      </c>
      <c r="I36" s="92">
        <v>84</v>
      </c>
      <c r="J36" s="92">
        <v>5</v>
      </c>
      <c r="M36" s="90">
        <v>38109</v>
      </c>
      <c r="N36" s="91">
        <v>0.041666666666666664</v>
      </c>
      <c r="O36" s="92">
        <v>48</v>
      </c>
      <c r="P36" s="92">
        <v>0</v>
      </c>
    </row>
    <row r="37" spans="1:16" ht="12.75">
      <c r="A37" s="83">
        <v>38109</v>
      </c>
      <c r="B37" s="80">
        <v>0.08333333333333333</v>
      </c>
      <c r="C37" s="78">
        <v>59</v>
      </c>
      <c r="D37" s="79">
        <v>3</v>
      </c>
      <c r="G37" s="83">
        <v>38109</v>
      </c>
      <c r="H37" s="80">
        <v>0.08333333333333333</v>
      </c>
      <c r="I37" s="78">
        <v>76</v>
      </c>
      <c r="J37" s="79">
        <v>3</v>
      </c>
      <c r="M37" s="83">
        <v>38109</v>
      </c>
      <c r="N37" s="80">
        <v>0.08333333333333333</v>
      </c>
      <c r="O37" s="78">
        <v>42</v>
      </c>
      <c r="P37" s="79">
        <v>0</v>
      </c>
    </row>
    <row r="38" spans="1:16" ht="12.75">
      <c r="A38" s="83">
        <v>38109</v>
      </c>
      <c r="B38" s="80">
        <v>0.125</v>
      </c>
      <c r="C38" s="78">
        <v>52</v>
      </c>
      <c r="D38" s="79">
        <v>3</v>
      </c>
      <c r="G38" s="83">
        <v>38109</v>
      </c>
      <c r="H38" s="80">
        <v>0.125</v>
      </c>
      <c r="I38" s="78">
        <v>44</v>
      </c>
      <c r="J38" s="79">
        <v>3</v>
      </c>
      <c r="M38" s="83">
        <v>38109</v>
      </c>
      <c r="N38" s="80">
        <v>0.125</v>
      </c>
      <c r="O38" s="78">
        <v>34</v>
      </c>
      <c r="P38" s="79">
        <v>0</v>
      </c>
    </row>
    <row r="39" spans="1:16" ht="12.75">
      <c r="A39" s="83">
        <v>38109</v>
      </c>
      <c r="B39" s="80">
        <v>0.16666666666666666</v>
      </c>
      <c r="C39" s="78">
        <v>34</v>
      </c>
      <c r="D39" s="79">
        <v>0</v>
      </c>
      <c r="G39" s="83">
        <v>38109</v>
      </c>
      <c r="H39" s="80">
        <v>0.16666666666666666</v>
      </c>
      <c r="I39" s="78">
        <v>34</v>
      </c>
      <c r="J39" s="79">
        <v>0</v>
      </c>
      <c r="M39" s="83">
        <v>38109</v>
      </c>
      <c r="N39" s="80">
        <v>0.16666666666666666</v>
      </c>
      <c r="O39" s="78">
        <v>36</v>
      </c>
      <c r="P39" s="79">
        <v>0</v>
      </c>
    </row>
    <row r="40" spans="1:16" ht="12.75">
      <c r="A40" s="83">
        <v>38109</v>
      </c>
      <c r="B40" s="80">
        <v>0.20833333333333334</v>
      </c>
      <c r="C40" s="78">
        <v>34</v>
      </c>
      <c r="D40" s="79">
        <v>0</v>
      </c>
      <c r="G40" s="83">
        <v>38109</v>
      </c>
      <c r="H40" s="80">
        <v>0.20833333333333334</v>
      </c>
      <c r="I40" s="78">
        <v>27</v>
      </c>
      <c r="J40" s="79">
        <v>0</v>
      </c>
      <c r="M40" s="83">
        <v>38109</v>
      </c>
      <c r="N40" s="80">
        <v>0.20833333333333334</v>
      </c>
      <c r="O40" s="78">
        <v>32</v>
      </c>
      <c r="P40" s="79">
        <v>0</v>
      </c>
    </row>
    <row r="41" spans="1:16" ht="12.75">
      <c r="A41" s="83">
        <v>38109</v>
      </c>
      <c r="B41" s="80">
        <v>0.25</v>
      </c>
      <c r="C41" s="78">
        <v>19</v>
      </c>
      <c r="D41" s="79">
        <v>3</v>
      </c>
      <c r="G41" s="83">
        <v>38109</v>
      </c>
      <c r="H41" s="80">
        <v>0.25</v>
      </c>
      <c r="I41" s="78">
        <v>25</v>
      </c>
      <c r="J41" s="79">
        <v>0</v>
      </c>
      <c r="M41" s="83">
        <v>38109</v>
      </c>
      <c r="N41" s="80">
        <v>0.25</v>
      </c>
      <c r="O41" s="78">
        <v>32</v>
      </c>
      <c r="P41" s="79">
        <v>0</v>
      </c>
    </row>
    <row r="42" spans="1:16" ht="12.75">
      <c r="A42" s="83">
        <v>38109</v>
      </c>
      <c r="B42" s="80">
        <v>0.2916666666666667</v>
      </c>
      <c r="C42" s="78">
        <v>40</v>
      </c>
      <c r="D42" s="79">
        <v>3</v>
      </c>
      <c r="G42" s="83">
        <v>38109</v>
      </c>
      <c r="H42" s="80">
        <v>0.2916666666666667</v>
      </c>
      <c r="I42" s="78">
        <v>17</v>
      </c>
      <c r="J42" s="79">
        <v>0</v>
      </c>
      <c r="M42" s="83">
        <v>38109</v>
      </c>
      <c r="N42" s="80">
        <v>0.2916666666666667</v>
      </c>
      <c r="O42" s="78">
        <v>23</v>
      </c>
      <c r="P42" s="79">
        <v>0</v>
      </c>
    </row>
    <row r="43" spans="1:16" ht="12.75">
      <c r="A43" s="83">
        <v>38109</v>
      </c>
      <c r="B43" s="80">
        <v>0.3333333333333333</v>
      </c>
      <c r="C43" s="78">
        <v>34</v>
      </c>
      <c r="D43" s="79">
        <v>3</v>
      </c>
      <c r="G43" s="83">
        <v>38109</v>
      </c>
      <c r="H43" s="80">
        <v>0.3333333333333333</v>
      </c>
      <c r="I43" s="78">
        <v>17</v>
      </c>
      <c r="J43" s="79">
        <v>0</v>
      </c>
      <c r="M43" s="83">
        <v>38109</v>
      </c>
      <c r="N43" s="80">
        <v>0.3333333333333333</v>
      </c>
      <c r="O43" s="78">
        <v>32</v>
      </c>
      <c r="P43" s="79">
        <v>0</v>
      </c>
    </row>
    <row r="44" spans="1:16" ht="12.75">
      <c r="A44" s="83">
        <v>38109</v>
      </c>
      <c r="B44" s="80">
        <v>0.375</v>
      </c>
      <c r="C44" s="78">
        <v>32</v>
      </c>
      <c r="D44" s="79">
        <v>3</v>
      </c>
      <c r="G44" s="83">
        <v>38109</v>
      </c>
      <c r="H44" s="80">
        <v>0.375</v>
      </c>
      <c r="I44" s="78">
        <v>15</v>
      </c>
      <c r="J44" s="79">
        <v>0</v>
      </c>
      <c r="M44" s="83">
        <v>38109</v>
      </c>
      <c r="N44" s="80">
        <v>0.375</v>
      </c>
      <c r="O44" s="78">
        <v>34</v>
      </c>
      <c r="P44" s="79">
        <v>0</v>
      </c>
    </row>
    <row r="45" spans="1:16" ht="12.75">
      <c r="A45" s="83">
        <v>38109</v>
      </c>
      <c r="B45" s="80">
        <v>0.4166666666666667</v>
      </c>
      <c r="C45" s="78">
        <v>40</v>
      </c>
      <c r="D45" s="79">
        <v>3</v>
      </c>
      <c r="G45" s="83">
        <v>38109</v>
      </c>
      <c r="H45" s="80">
        <v>0.4166666666666667</v>
      </c>
      <c r="I45" s="78">
        <v>17</v>
      </c>
      <c r="J45" s="79">
        <v>0</v>
      </c>
      <c r="M45" s="83">
        <v>38109</v>
      </c>
      <c r="N45" s="80">
        <v>0.4166666666666667</v>
      </c>
      <c r="O45" s="78">
        <v>23</v>
      </c>
      <c r="P45" s="79">
        <v>0</v>
      </c>
    </row>
    <row r="46" spans="1:16" ht="12.75">
      <c r="A46" s="83">
        <v>38109</v>
      </c>
      <c r="B46" s="80">
        <v>0.4583333333333333</v>
      </c>
      <c r="C46" s="78">
        <v>21</v>
      </c>
      <c r="D46" s="79">
        <v>0</v>
      </c>
      <c r="G46" s="83">
        <v>38109</v>
      </c>
      <c r="H46" s="80">
        <v>0.4583333333333333</v>
      </c>
      <c r="I46" s="78">
        <v>19</v>
      </c>
      <c r="J46" s="79">
        <v>0</v>
      </c>
      <c r="M46" s="83">
        <v>38109</v>
      </c>
      <c r="N46" s="80">
        <v>0.4583333333333333</v>
      </c>
      <c r="O46" s="78">
        <v>11</v>
      </c>
      <c r="P46" s="79">
        <v>0</v>
      </c>
    </row>
    <row r="47" spans="1:16" ht="12.75">
      <c r="A47" s="83">
        <v>38109</v>
      </c>
      <c r="B47" s="80">
        <v>0.5</v>
      </c>
      <c r="C47" s="78">
        <v>21</v>
      </c>
      <c r="D47" s="79">
        <v>0</v>
      </c>
      <c r="G47" s="83">
        <v>38109</v>
      </c>
      <c r="H47" s="80">
        <v>0.5</v>
      </c>
      <c r="I47" s="78">
        <v>17</v>
      </c>
      <c r="J47" s="79">
        <v>0</v>
      </c>
      <c r="M47" s="83">
        <v>38109</v>
      </c>
      <c r="N47" s="80">
        <v>0.5</v>
      </c>
      <c r="O47" s="78">
        <v>25</v>
      </c>
      <c r="P47" s="79">
        <v>0</v>
      </c>
    </row>
    <row r="48" spans="1:16" ht="12.75">
      <c r="A48" s="83">
        <v>38109</v>
      </c>
      <c r="B48" s="80">
        <v>0.5416666666666666</v>
      </c>
      <c r="C48" s="78">
        <v>17</v>
      </c>
      <c r="D48" s="79">
        <v>0</v>
      </c>
      <c r="G48" s="83">
        <v>38109</v>
      </c>
      <c r="H48" s="80">
        <v>0.5416666666666666</v>
      </c>
      <c r="I48" s="78">
        <v>15</v>
      </c>
      <c r="J48" s="79">
        <v>0</v>
      </c>
      <c r="M48" s="83">
        <v>38109</v>
      </c>
      <c r="N48" s="80">
        <v>0.5416666666666666</v>
      </c>
      <c r="O48" s="78">
        <v>17</v>
      </c>
      <c r="P48" s="79">
        <v>0</v>
      </c>
    </row>
    <row r="49" spans="1:16" ht="12.75">
      <c r="A49" s="83">
        <v>38109</v>
      </c>
      <c r="B49" s="80">
        <v>0.5833333333333334</v>
      </c>
      <c r="C49" s="78">
        <v>17</v>
      </c>
      <c r="D49" s="79">
        <v>0</v>
      </c>
      <c r="G49" s="83">
        <v>38109</v>
      </c>
      <c r="H49" s="80">
        <v>0.5833333333333334</v>
      </c>
      <c r="I49" s="78">
        <v>13</v>
      </c>
      <c r="J49" s="79">
        <v>0</v>
      </c>
      <c r="M49" s="83">
        <v>38109</v>
      </c>
      <c r="N49" s="80">
        <v>0.5833333333333334</v>
      </c>
      <c r="O49" s="78">
        <v>25</v>
      </c>
      <c r="P49" s="79">
        <v>0</v>
      </c>
    </row>
    <row r="50" spans="1:16" ht="12.75">
      <c r="A50" s="83">
        <v>38109</v>
      </c>
      <c r="B50" s="80">
        <v>0.625</v>
      </c>
      <c r="C50" s="78">
        <v>17</v>
      </c>
      <c r="D50" s="79">
        <v>0</v>
      </c>
      <c r="G50" s="83">
        <v>38109</v>
      </c>
      <c r="H50" s="80">
        <v>0.625</v>
      </c>
      <c r="I50" s="78">
        <v>15</v>
      </c>
      <c r="J50" s="79">
        <v>0</v>
      </c>
      <c r="M50" s="83">
        <v>38109</v>
      </c>
      <c r="N50" s="80">
        <v>0.625</v>
      </c>
      <c r="O50" s="78">
        <v>31</v>
      </c>
      <c r="P50" s="79">
        <v>0</v>
      </c>
    </row>
    <row r="51" spans="1:16" ht="12.75">
      <c r="A51" s="83">
        <v>38109</v>
      </c>
      <c r="B51" s="80">
        <v>0.6666666666666666</v>
      </c>
      <c r="C51" s="78">
        <v>21</v>
      </c>
      <c r="D51" s="79">
        <v>0</v>
      </c>
      <c r="G51" s="83">
        <v>38109</v>
      </c>
      <c r="H51" s="80">
        <v>0.6666666666666666</v>
      </c>
      <c r="I51" s="78">
        <v>15</v>
      </c>
      <c r="J51" s="79">
        <v>3</v>
      </c>
      <c r="M51" s="83">
        <v>38109</v>
      </c>
      <c r="N51" s="80">
        <v>0.6666666666666666</v>
      </c>
      <c r="O51" s="78">
        <v>23</v>
      </c>
      <c r="P51" s="79">
        <v>0</v>
      </c>
    </row>
    <row r="52" spans="1:16" ht="12.75">
      <c r="A52" s="83">
        <v>38109</v>
      </c>
      <c r="B52" s="80">
        <v>0.7083333333333334</v>
      </c>
      <c r="C52" s="78">
        <v>21</v>
      </c>
      <c r="D52" s="79">
        <v>3</v>
      </c>
      <c r="G52" s="83">
        <v>38109</v>
      </c>
      <c r="H52" s="80">
        <v>0.7083333333333334</v>
      </c>
      <c r="I52" s="78">
        <v>19</v>
      </c>
      <c r="J52" s="79">
        <v>3</v>
      </c>
      <c r="M52" s="83">
        <v>38109</v>
      </c>
      <c r="N52" s="80">
        <v>0.7083333333333334</v>
      </c>
      <c r="O52" s="78">
        <v>13</v>
      </c>
      <c r="P52" s="79">
        <v>0</v>
      </c>
    </row>
    <row r="53" spans="1:16" ht="12.75">
      <c r="A53" s="83">
        <v>38109</v>
      </c>
      <c r="B53" s="80">
        <v>0.75</v>
      </c>
      <c r="C53" s="78">
        <v>27</v>
      </c>
      <c r="D53" s="79">
        <v>5</v>
      </c>
      <c r="G53" s="83">
        <v>38109</v>
      </c>
      <c r="H53" s="80">
        <v>0.75</v>
      </c>
      <c r="I53" s="78">
        <v>23</v>
      </c>
      <c r="J53" s="79">
        <v>0</v>
      </c>
      <c r="M53" s="83">
        <v>38109</v>
      </c>
      <c r="N53" s="80">
        <v>0.75</v>
      </c>
      <c r="O53" s="78">
        <v>11</v>
      </c>
      <c r="P53" s="79">
        <v>0</v>
      </c>
    </row>
    <row r="54" spans="1:16" ht="12.75">
      <c r="A54" s="83">
        <v>38109</v>
      </c>
      <c r="B54" s="80">
        <v>0.7916666666666666</v>
      </c>
      <c r="C54" s="78">
        <v>27</v>
      </c>
      <c r="D54" s="79">
        <v>3</v>
      </c>
      <c r="G54" s="83">
        <v>38109</v>
      </c>
      <c r="H54" s="80">
        <v>0.7916666666666666</v>
      </c>
      <c r="I54" s="78">
        <v>21</v>
      </c>
      <c r="J54" s="79">
        <v>0</v>
      </c>
      <c r="M54" s="83">
        <v>38109</v>
      </c>
      <c r="N54" s="80">
        <v>0.7916666666666666</v>
      </c>
      <c r="O54" s="78">
        <v>15</v>
      </c>
      <c r="P54" s="79">
        <v>0</v>
      </c>
    </row>
    <row r="55" spans="1:16" ht="12.75">
      <c r="A55" s="83">
        <v>38109</v>
      </c>
      <c r="B55" s="80">
        <v>0.8333333333333334</v>
      </c>
      <c r="C55" s="78">
        <v>27</v>
      </c>
      <c r="D55" s="79">
        <v>0</v>
      </c>
      <c r="G55" s="83">
        <v>38109</v>
      </c>
      <c r="H55" s="80">
        <v>0.8333333333333334</v>
      </c>
      <c r="I55" s="78">
        <v>21</v>
      </c>
      <c r="J55" s="79">
        <v>0</v>
      </c>
      <c r="M55" s="83">
        <v>38109</v>
      </c>
      <c r="N55" s="80">
        <v>0.8333333333333334</v>
      </c>
      <c r="O55" s="78">
        <v>27</v>
      </c>
      <c r="P55" s="79">
        <v>0</v>
      </c>
    </row>
    <row r="56" spans="1:16" ht="12.75">
      <c r="A56" s="83">
        <v>38109</v>
      </c>
      <c r="B56" s="80">
        <v>0.875</v>
      </c>
      <c r="C56" s="78">
        <v>31</v>
      </c>
      <c r="D56" s="79">
        <v>0</v>
      </c>
      <c r="G56" s="83">
        <v>38109</v>
      </c>
      <c r="H56" s="80">
        <v>0.875</v>
      </c>
      <c r="I56" s="78">
        <v>21</v>
      </c>
      <c r="J56" s="79">
        <v>0</v>
      </c>
      <c r="M56" s="83">
        <v>38109</v>
      </c>
      <c r="N56" s="80">
        <v>0.875</v>
      </c>
      <c r="O56" s="78">
        <v>82</v>
      </c>
      <c r="P56" s="79">
        <v>0</v>
      </c>
    </row>
    <row r="57" spans="1:16" ht="12.75">
      <c r="A57" s="83">
        <v>38109</v>
      </c>
      <c r="B57" s="80">
        <v>0.9166666666666666</v>
      </c>
      <c r="C57" s="78">
        <v>19</v>
      </c>
      <c r="D57" s="79">
        <v>0</v>
      </c>
      <c r="G57" s="83">
        <v>38109</v>
      </c>
      <c r="H57" s="80">
        <v>0.9166666666666666</v>
      </c>
      <c r="I57" s="78">
        <v>17</v>
      </c>
      <c r="J57" s="79">
        <v>0</v>
      </c>
      <c r="M57" s="83">
        <v>38109</v>
      </c>
      <c r="N57" s="80">
        <v>0.9166666666666666</v>
      </c>
      <c r="O57" s="78">
        <v>86</v>
      </c>
      <c r="P57" s="79">
        <v>0</v>
      </c>
    </row>
    <row r="58" spans="1:16" ht="12.75">
      <c r="A58" s="83">
        <v>38109</v>
      </c>
      <c r="B58" s="80">
        <v>0.9583333333333334</v>
      </c>
      <c r="C58" s="78">
        <v>27</v>
      </c>
      <c r="D58" s="79">
        <v>0</v>
      </c>
      <c r="G58" s="83">
        <v>38109</v>
      </c>
      <c r="H58" s="80">
        <v>0.9583333333333334</v>
      </c>
      <c r="I58" s="78">
        <v>13</v>
      </c>
      <c r="J58" s="79">
        <v>0</v>
      </c>
      <c r="M58" s="83">
        <v>38109</v>
      </c>
      <c r="N58" s="80">
        <v>0.9583333333333334</v>
      </c>
      <c r="O58" s="78">
        <v>76</v>
      </c>
      <c r="P58" s="79">
        <v>0</v>
      </c>
    </row>
    <row r="59" spans="1:16" ht="12.75">
      <c r="A59" s="83">
        <v>38109</v>
      </c>
      <c r="B59" s="81">
        <v>1</v>
      </c>
      <c r="C59" s="78">
        <v>23</v>
      </c>
      <c r="D59" s="79">
        <v>0</v>
      </c>
      <c r="G59" s="83">
        <v>38109</v>
      </c>
      <c r="H59" s="81">
        <v>1</v>
      </c>
      <c r="I59" s="78">
        <v>13</v>
      </c>
      <c r="J59" s="79">
        <v>0</v>
      </c>
      <c r="M59" s="83">
        <v>38109</v>
      </c>
      <c r="N59" s="81">
        <v>1</v>
      </c>
      <c r="O59" s="78">
        <v>69</v>
      </c>
      <c r="P59" s="79">
        <v>0</v>
      </c>
    </row>
    <row r="60" spans="1:16" s="92" customFormat="1" ht="12.75">
      <c r="A60" s="90">
        <v>38110</v>
      </c>
      <c r="B60" s="91">
        <v>0.041666666666666664</v>
      </c>
      <c r="C60" s="92">
        <v>17</v>
      </c>
      <c r="D60" s="92">
        <v>0</v>
      </c>
      <c r="G60" s="90">
        <v>38110</v>
      </c>
      <c r="H60" s="91">
        <v>0.041666666666666664</v>
      </c>
      <c r="I60" s="92">
        <v>10</v>
      </c>
      <c r="J60" s="92">
        <v>0</v>
      </c>
      <c r="M60" s="90">
        <v>38110</v>
      </c>
      <c r="N60" s="91">
        <v>0.041666666666666664</v>
      </c>
      <c r="O60" s="92">
        <v>50</v>
      </c>
      <c r="P60" s="92">
        <v>0</v>
      </c>
    </row>
    <row r="61" spans="1:16" ht="12.75">
      <c r="A61" s="83">
        <v>38110</v>
      </c>
      <c r="B61" s="80">
        <v>0.08333333333333333</v>
      </c>
      <c r="C61" s="78">
        <v>19</v>
      </c>
      <c r="D61" s="79">
        <v>3</v>
      </c>
      <c r="G61" s="83">
        <v>38110</v>
      </c>
      <c r="H61" s="80">
        <v>0.08333333333333333</v>
      </c>
      <c r="I61" s="78">
        <v>11</v>
      </c>
      <c r="J61" s="79">
        <v>0</v>
      </c>
      <c r="M61" s="83">
        <v>38110</v>
      </c>
      <c r="N61" s="80">
        <v>0.08333333333333333</v>
      </c>
      <c r="O61" s="78">
        <v>53</v>
      </c>
      <c r="P61" s="79">
        <v>0</v>
      </c>
    </row>
    <row r="62" spans="1:16" ht="12.75">
      <c r="A62" s="83">
        <v>38110</v>
      </c>
      <c r="B62" s="80">
        <v>0.125</v>
      </c>
      <c r="C62" s="78">
        <v>13</v>
      </c>
      <c r="D62" s="79">
        <v>0</v>
      </c>
      <c r="G62" s="83">
        <v>38110</v>
      </c>
      <c r="H62" s="80">
        <v>0.125</v>
      </c>
      <c r="I62" s="78">
        <v>10</v>
      </c>
      <c r="J62" s="79">
        <v>0</v>
      </c>
      <c r="M62" s="83">
        <v>38110</v>
      </c>
      <c r="N62" s="80">
        <v>0.125</v>
      </c>
      <c r="O62" s="78">
        <v>50</v>
      </c>
      <c r="P62" s="79">
        <v>0</v>
      </c>
    </row>
    <row r="63" spans="1:16" ht="12.75">
      <c r="A63" s="83">
        <v>38110</v>
      </c>
      <c r="B63" s="80">
        <v>0.16666666666666666</v>
      </c>
      <c r="C63" s="78">
        <v>13</v>
      </c>
      <c r="D63" s="79">
        <v>0</v>
      </c>
      <c r="G63" s="83">
        <v>38110</v>
      </c>
      <c r="H63" s="80">
        <v>0.16666666666666666</v>
      </c>
      <c r="I63" s="78">
        <v>10</v>
      </c>
      <c r="J63" s="79">
        <v>0</v>
      </c>
      <c r="M63" s="83">
        <v>38110</v>
      </c>
      <c r="N63" s="80">
        <v>0.16666666666666666</v>
      </c>
      <c r="O63" s="78">
        <v>44</v>
      </c>
      <c r="P63" s="79">
        <v>0</v>
      </c>
    </row>
    <row r="64" spans="1:16" ht="12.75">
      <c r="A64" s="83">
        <v>38110</v>
      </c>
      <c r="B64" s="80">
        <v>0.20833333333333334</v>
      </c>
      <c r="C64" s="78">
        <v>13</v>
      </c>
      <c r="D64" s="79">
        <v>3</v>
      </c>
      <c r="G64" s="83">
        <v>38110</v>
      </c>
      <c r="H64" s="80">
        <v>0.20833333333333334</v>
      </c>
      <c r="I64" s="78">
        <v>10</v>
      </c>
      <c r="J64" s="79">
        <v>0</v>
      </c>
      <c r="M64" s="83">
        <v>38110</v>
      </c>
      <c r="N64" s="80">
        <v>0.20833333333333334</v>
      </c>
      <c r="O64" s="78">
        <v>32</v>
      </c>
      <c r="P64" s="79">
        <v>0</v>
      </c>
    </row>
    <row r="65" spans="1:16" ht="12.75">
      <c r="A65" s="83">
        <v>38110</v>
      </c>
      <c r="B65" s="80">
        <v>0.25</v>
      </c>
      <c r="C65" s="78">
        <v>23</v>
      </c>
      <c r="D65" s="79">
        <v>0</v>
      </c>
      <c r="G65" s="83">
        <v>38110</v>
      </c>
      <c r="H65" s="80">
        <v>0.25</v>
      </c>
      <c r="I65" s="78">
        <v>15</v>
      </c>
      <c r="J65" s="79">
        <v>3</v>
      </c>
      <c r="M65" s="83">
        <v>38110</v>
      </c>
      <c r="N65" s="80">
        <v>0.25</v>
      </c>
      <c r="O65" s="78">
        <v>52</v>
      </c>
      <c r="P65" s="79">
        <v>0</v>
      </c>
    </row>
    <row r="66" spans="1:16" ht="12.75">
      <c r="A66" s="83">
        <v>38110</v>
      </c>
      <c r="B66" s="80">
        <v>0.2916666666666667</v>
      </c>
      <c r="C66" s="78">
        <v>17</v>
      </c>
      <c r="D66" s="79">
        <v>0</v>
      </c>
      <c r="G66" s="83">
        <v>38110</v>
      </c>
      <c r="H66" s="80">
        <v>0.2916666666666667</v>
      </c>
      <c r="I66" s="78">
        <v>19</v>
      </c>
      <c r="J66" s="79">
        <v>3</v>
      </c>
      <c r="M66" s="83">
        <v>38110</v>
      </c>
      <c r="N66" s="80">
        <v>0.2916666666666667</v>
      </c>
      <c r="O66" s="78">
        <v>42</v>
      </c>
      <c r="P66" s="79">
        <v>0</v>
      </c>
    </row>
    <row r="67" spans="1:16" ht="12.75">
      <c r="A67" s="83">
        <v>38110</v>
      </c>
      <c r="B67" s="80">
        <v>0.3333333333333333</v>
      </c>
      <c r="C67" s="78">
        <v>15</v>
      </c>
      <c r="D67" s="79">
        <v>0</v>
      </c>
      <c r="G67" s="83">
        <v>38110</v>
      </c>
      <c r="H67" s="80">
        <v>0.3333333333333333</v>
      </c>
      <c r="I67" s="78">
        <v>25</v>
      </c>
      <c r="J67" s="79">
        <v>5</v>
      </c>
      <c r="M67" s="83">
        <v>38110</v>
      </c>
      <c r="N67" s="80">
        <v>0.3333333333333333</v>
      </c>
      <c r="O67" s="78">
        <v>44</v>
      </c>
      <c r="P67" s="79">
        <v>0</v>
      </c>
    </row>
    <row r="68" spans="1:16" ht="12.75">
      <c r="A68" s="83">
        <v>38110</v>
      </c>
      <c r="B68" s="80">
        <v>0.375</v>
      </c>
      <c r="C68" s="78">
        <v>15</v>
      </c>
      <c r="D68" s="79">
        <v>0</v>
      </c>
      <c r="G68" s="83">
        <v>38110</v>
      </c>
      <c r="H68" s="80">
        <v>0.375</v>
      </c>
      <c r="I68" s="78">
        <v>21</v>
      </c>
      <c r="J68" s="79">
        <v>3</v>
      </c>
      <c r="M68" s="83">
        <v>38110</v>
      </c>
      <c r="N68" s="80">
        <v>0.375</v>
      </c>
      <c r="O68" s="78">
        <v>50</v>
      </c>
      <c r="P68" s="79">
        <v>0</v>
      </c>
    </row>
    <row r="69" spans="1:16" ht="12.75">
      <c r="A69" s="83">
        <v>38110</v>
      </c>
      <c r="B69" s="80">
        <v>0.4166666666666667</v>
      </c>
      <c r="C69" s="78">
        <v>19</v>
      </c>
      <c r="D69" s="79">
        <v>0</v>
      </c>
      <c r="G69" s="83">
        <v>38110</v>
      </c>
      <c r="H69" s="80">
        <v>0.4166666666666667</v>
      </c>
      <c r="I69" s="78">
        <v>21</v>
      </c>
      <c r="J69" s="79">
        <v>3</v>
      </c>
      <c r="M69" s="83">
        <v>38110</v>
      </c>
      <c r="N69" s="80">
        <v>0.4166666666666667</v>
      </c>
      <c r="O69" s="78">
        <v>50</v>
      </c>
      <c r="P69" s="79">
        <v>0</v>
      </c>
    </row>
    <row r="70" spans="1:16" ht="12.75">
      <c r="A70" s="83">
        <v>38110</v>
      </c>
      <c r="B70" s="80">
        <v>0.4583333333333333</v>
      </c>
      <c r="C70" s="78">
        <v>13</v>
      </c>
      <c r="D70" s="79">
        <v>0</v>
      </c>
      <c r="G70" s="83">
        <v>38110</v>
      </c>
      <c r="H70" s="80">
        <v>0.4583333333333333</v>
      </c>
      <c r="I70" s="78">
        <v>21</v>
      </c>
      <c r="J70" s="79">
        <v>5</v>
      </c>
      <c r="M70" s="83">
        <v>38110</v>
      </c>
      <c r="N70" s="80">
        <v>0.4583333333333333</v>
      </c>
      <c r="O70" s="78">
        <v>25</v>
      </c>
      <c r="P70" s="79">
        <v>0</v>
      </c>
    </row>
    <row r="71" spans="1:16" ht="12.75">
      <c r="A71" s="83">
        <v>38110</v>
      </c>
      <c r="B71" s="80">
        <v>0.5</v>
      </c>
      <c r="C71" s="78">
        <v>13</v>
      </c>
      <c r="D71" s="79">
        <v>0</v>
      </c>
      <c r="G71" s="83">
        <v>38110</v>
      </c>
      <c r="H71" s="80">
        <v>0.5</v>
      </c>
      <c r="I71" s="78">
        <v>19</v>
      </c>
      <c r="J71" s="79">
        <v>3</v>
      </c>
      <c r="M71" s="83">
        <v>38110</v>
      </c>
      <c r="N71" s="80">
        <v>0.5</v>
      </c>
      <c r="O71" s="78">
        <v>13</v>
      </c>
      <c r="P71" s="79">
        <v>0</v>
      </c>
    </row>
    <row r="72" spans="1:16" ht="12.75">
      <c r="A72" s="83">
        <v>38110</v>
      </c>
      <c r="B72" s="80">
        <v>0.5416666666666666</v>
      </c>
      <c r="C72" s="78">
        <v>13</v>
      </c>
      <c r="D72" s="79">
        <v>0</v>
      </c>
      <c r="G72" s="83">
        <v>38110</v>
      </c>
      <c r="H72" s="80">
        <v>0.5416666666666666</v>
      </c>
      <c r="I72" s="78">
        <v>17</v>
      </c>
      <c r="J72" s="79">
        <v>3</v>
      </c>
      <c r="M72" s="83">
        <v>38110</v>
      </c>
      <c r="N72" s="80">
        <v>0.5416666666666666</v>
      </c>
      <c r="O72" s="78">
        <v>17</v>
      </c>
      <c r="P72" s="79">
        <v>0</v>
      </c>
    </row>
    <row r="73" spans="1:16" ht="12.75">
      <c r="A73" s="83">
        <v>38110</v>
      </c>
      <c r="B73" s="80">
        <v>0.5833333333333334</v>
      </c>
      <c r="C73" s="78">
        <v>11</v>
      </c>
      <c r="D73" s="79">
        <v>0</v>
      </c>
      <c r="G73" s="83">
        <v>38110</v>
      </c>
      <c r="H73" s="80">
        <v>0.5833333333333334</v>
      </c>
      <c r="I73" s="78">
        <v>19</v>
      </c>
      <c r="J73" s="79">
        <v>3</v>
      </c>
      <c r="M73" s="83">
        <v>38110</v>
      </c>
      <c r="N73" s="80">
        <v>0.5833333333333334</v>
      </c>
      <c r="O73" s="78">
        <v>17</v>
      </c>
      <c r="P73" s="79">
        <v>0</v>
      </c>
    </row>
    <row r="74" spans="1:16" ht="12.75">
      <c r="A74" s="83">
        <v>38110</v>
      </c>
      <c r="B74" s="80">
        <v>0.625</v>
      </c>
      <c r="C74" s="78">
        <v>11</v>
      </c>
      <c r="D74" s="79">
        <v>0</v>
      </c>
      <c r="G74" s="83">
        <v>38110</v>
      </c>
      <c r="H74" s="80">
        <v>0.625</v>
      </c>
      <c r="I74" s="78">
        <v>21</v>
      </c>
      <c r="J74" s="79">
        <v>3</v>
      </c>
      <c r="M74" s="83">
        <v>38110</v>
      </c>
      <c r="N74" s="80">
        <v>0.625</v>
      </c>
      <c r="O74" s="78">
        <v>8</v>
      </c>
      <c r="P74" s="79">
        <v>0</v>
      </c>
    </row>
    <row r="75" spans="1:16" ht="12.75">
      <c r="A75" s="83">
        <v>38110</v>
      </c>
      <c r="B75" s="80">
        <v>0.6666666666666666</v>
      </c>
      <c r="C75" s="78">
        <v>11</v>
      </c>
      <c r="D75" s="79">
        <v>0</v>
      </c>
      <c r="G75" s="83">
        <v>38110</v>
      </c>
      <c r="H75" s="80">
        <v>0.6666666666666666</v>
      </c>
      <c r="I75" s="78">
        <v>19</v>
      </c>
      <c r="J75" s="79">
        <v>3</v>
      </c>
      <c r="M75" s="83">
        <v>38110</v>
      </c>
      <c r="N75" s="80">
        <v>0.6666666666666666</v>
      </c>
      <c r="O75" s="78">
        <v>8</v>
      </c>
      <c r="P75" s="79">
        <v>0</v>
      </c>
    </row>
    <row r="76" spans="1:16" ht="12.75">
      <c r="A76" s="83">
        <v>38110</v>
      </c>
      <c r="B76" s="80">
        <v>0.7083333333333334</v>
      </c>
      <c r="C76" s="78">
        <v>11</v>
      </c>
      <c r="D76" s="79">
        <v>0</v>
      </c>
      <c r="G76" s="83">
        <v>38110</v>
      </c>
      <c r="H76" s="80">
        <v>0.7083333333333334</v>
      </c>
      <c r="I76" s="78">
        <v>23</v>
      </c>
      <c r="J76" s="79">
        <v>3</v>
      </c>
      <c r="M76" s="83">
        <v>38110</v>
      </c>
      <c r="N76" s="80">
        <v>0.7083333333333334</v>
      </c>
      <c r="O76" s="78">
        <v>13</v>
      </c>
      <c r="P76" s="79">
        <v>0</v>
      </c>
    </row>
    <row r="77" spans="1:16" ht="12.75">
      <c r="A77" s="83">
        <v>38110</v>
      </c>
      <c r="B77" s="80">
        <v>0.75</v>
      </c>
      <c r="C77" s="78">
        <v>11</v>
      </c>
      <c r="D77" s="79">
        <v>0</v>
      </c>
      <c r="G77" s="83">
        <v>38110</v>
      </c>
      <c r="H77" s="80">
        <v>0.75</v>
      </c>
      <c r="I77" s="78">
        <v>19</v>
      </c>
      <c r="J77" s="79">
        <v>3</v>
      </c>
      <c r="M77" s="83">
        <v>38110</v>
      </c>
      <c r="N77" s="80">
        <v>0.75</v>
      </c>
      <c r="O77" s="78">
        <v>6</v>
      </c>
      <c r="P77" s="79">
        <v>0</v>
      </c>
    </row>
    <row r="78" spans="1:16" ht="12.75">
      <c r="A78" s="83">
        <v>38110</v>
      </c>
      <c r="B78" s="80">
        <v>0.7916666666666666</v>
      </c>
      <c r="C78" s="78">
        <v>15</v>
      </c>
      <c r="D78" s="79">
        <v>0</v>
      </c>
      <c r="G78" s="83">
        <v>38110</v>
      </c>
      <c r="H78" s="80">
        <v>0.7916666666666666</v>
      </c>
      <c r="I78" s="78">
        <v>17</v>
      </c>
      <c r="J78" s="79">
        <v>0</v>
      </c>
      <c r="M78" s="83">
        <v>38110</v>
      </c>
      <c r="N78" s="80">
        <v>0.7916666666666666</v>
      </c>
      <c r="O78" s="78">
        <v>38</v>
      </c>
      <c r="P78" s="79">
        <v>0</v>
      </c>
    </row>
    <row r="79" spans="1:16" ht="12.75">
      <c r="A79" s="83">
        <v>38110</v>
      </c>
      <c r="B79" s="80">
        <v>0.8333333333333334</v>
      </c>
      <c r="C79" s="78">
        <v>21</v>
      </c>
      <c r="D79" s="79">
        <v>0</v>
      </c>
      <c r="G79" s="83">
        <v>38110</v>
      </c>
      <c r="H79" s="80">
        <v>0.8333333333333334</v>
      </c>
      <c r="I79" s="78">
        <v>15</v>
      </c>
      <c r="J79" s="79">
        <v>0</v>
      </c>
      <c r="M79" s="83">
        <v>38110</v>
      </c>
      <c r="N79" s="80">
        <v>0.8333333333333334</v>
      </c>
      <c r="O79" s="78">
        <v>86</v>
      </c>
      <c r="P79" s="79">
        <v>0</v>
      </c>
    </row>
    <row r="80" spans="1:16" ht="12.75">
      <c r="A80" s="83">
        <v>38110</v>
      </c>
      <c r="B80" s="80">
        <v>0.875</v>
      </c>
      <c r="C80" s="78">
        <v>23</v>
      </c>
      <c r="D80" s="79">
        <v>0</v>
      </c>
      <c r="G80" s="83">
        <v>38110</v>
      </c>
      <c r="H80" s="80">
        <v>0.875</v>
      </c>
      <c r="I80" s="78">
        <v>15</v>
      </c>
      <c r="J80" s="79">
        <v>0</v>
      </c>
      <c r="M80" s="83">
        <v>38110</v>
      </c>
      <c r="N80" s="80">
        <v>0.875</v>
      </c>
      <c r="O80" s="78">
        <v>84</v>
      </c>
      <c r="P80" s="79">
        <v>0</v>
      </c>
    </row>
    <row r="81" spans="1:16" ht="12.75">
      <c r="A81" s="83">
        <v>38110</v>
      </c>
      <c r="B81" s="80">
        <v>0.9166666666666666</v>
      </c>
      <c r="C81" s="78">
        <v>21</v>
      </c>
      <c r="D81" s="79">
        <v>0</v>
      </c>
      <c r="G81" s="83">
        <v>38110</v>
      </c>
      <c r="H81" s="80">
        <v>0.9166666666666666</v>
      </c>
      <c r="I81" s="78">
        <v>11</v>
      </c>
      <c r="J81" s="79">
        <v>0</v>
      </c>
      <c r="M81" s="83">
        <v>38110</v>
      </c>
      <c r="N81" s="80">
        <v>0.9166666666666666</v>
      </c>
      <c r="O81" s="78">
        <v>74</v>
      </c>
      <c r="P81" s="79">
        <v>0</v>
      </c>
    </row>
    <row r="82" spans="1:16" ht="12.75">
      <c r="A82" s="83">
        <v>38110</v>
      </c>
      <c r="B82" s="80">
        <v>0.9583333333333334</v>
      </c>
      <c r="C82" s="78">
        <v>19</v>
      </c>
      <c r="D82" s="79">
        <v>0</v>
      </c>
      <c r="G82" s="83">
        <v>38110</v>
      </c>
      <c r="H82" s="80">
        <v>0.9583333333333334</v>
      </c>
      <c r="I82" s="78">
        <v>8</v>
      </c>
      <c r="J82" s="79">
        <v>3</v>
      </c>
      <c r="M82" s="83">
        <v>38110</v>
      </c>
      <c r="N82" s="80">
        <v>0.9583333333333334</v>
      </c>
      <c r="O82" s="78">
        <v>55</v>
      </c>
      <c r="P82" s="79">
        <v>0</v>
      </c>
    </row>
    <row r="83" spans="1:16" ht="12.75">
      <c r="A83" s="83">
        <v>38110</v>
      </c>
      <c r="B83" s="81">
        <v>1</v>
      </c>
      <c r="C83" s="78">
        <v>13</v>
      </c>
      <c r="D83" s="79">
        <v>0</v>
      </c>
      <c r="G83" s="83">
        <v>38110</v>
      </c>
      <c r="H83" s="81">
        <v>1</v>
      </c>
      <c r="I83" s="78">
        <v>10</v>
      </c>
      <c r="J83" s="79">
        <v>3</v>
      </c>
      <c r="M83" s="83">
        <v>38110</v>
      </c>
      <c r="N83" s="81">
        <v>1</v>
      </c>
      <c r="O83" s="78">
        <v>38</v>
      </c>
      <c r="P83" s="79">
        <v>0</v>
      </c>
    </row>
    <row r="84" spans="1:16" s="92" customFormat="1" ht="12.75">
      <c r="A84" s="90">
        <v>38111</v>
      </c>
      <c r="B84" s="91">
        <v>0.041666666666666664</v>
      </c>
      <c r="C84" s="92">
        <v>19</v>
      </c>
      <c r="D84" s="92">
        <v>3</v>
      </c>
      <c r="G84" s="90">
        <v>38111</v>
      </c>
      <c r="H84" s="91">
        <v>0.041666666666666664</v>
      </c>
      <c r="I84" s="92">
        <v>8</v>
      </c>
      <c r="J84" s="92">
        <v>0</v>
      </c>
      <c r="M84" s="90">
        <v>38111</v>
      </c>
      <c r="N84" s="91">
        <v>0.041666666666666664</v>
      </c>
      <c r="O84" s="92">
        <v>31</v>
      </c>
      <c r="P84" s="92">
        <v>0</v>
      </c>
    </row>
    <row r="85" spans="1:16" ht="12.75">
      <c r="A85" s="83">
        <v>38111</v>
      </c>
      <c r="B85" s="80">
        <v>0.08333333333333333</v>
      </c>
      <c r="C85" s="78">
        <v>17</v>
      </c>
      <c r="D85" s="79">
        <v>5</v>
      </c>
      <c r="G85" s="83">
        <v>38111</v>
      </c>
      <c r="H85" s="80">
        <v>0.08333333333333333</v>
      </c>
      <c r="I85" s="78">
        <v>10</v>
      </c>
      <c r="J85" s="79">
        <v>3</v>
      </c>
      <c r="M85" s="83">
        <v>38111</v>
      </c>
      <c r="N85" s="80">
        <v>0.08333333333333333</v>
      </c>
      <c r="O85" s="78">
        <v>34</v>
      </c>
      <c r="P85" s="79">
        <v>0</v>
      </c>
    </row>
    <row r="86" spans="1:16" ht="12.75">
      <c r="A86" s="83">
        <v>38111</v>
      </c>
      <c r="B86" s="80">
        <v>0.125</v>
      </c>
      <c r="C86" s="78">
        <v>17</v>
      </c>
      <c r="D86" s="79">
        <v>5</v>
      </c>
      <c r="G86" s="83">
        <v>38111</v>
      </c>
      <c r="H86" s="80">
        <v>0.125</v>
      </c>
      <c r="I86" s="78">
        <v>10</v>
      </c>
      <c r="J86" s="79">
        <v>3</v>
      </c>
      <c r="M86" s="83">
        <v>38111</v>
      </c>
      <c r="N86" s="80">
        <v>0.125</v>
      </c>
      <c r="O86" s="78">
        <v>23</v>
      </c>
      <c r="P86" s="79">
        <v>0</v>
      </c>
    </row>
    <row r="87" spans="1:16" ht="12.75">
      <c r="A87" s="83">
        <v>38111</v>
      </c>
      <c r="B87" s="80">
        <v>0.16666666666666666</v>
      </c>
      <c r="C87" s="78">
        <v>6</v>
      </c>
      <c r="D87" s="79">
        <v>0</v>
      </c>
      <c r="G87" s="83">
        <v>38111</v>
      </c>
      <c r="H87" s="80">
        <v>0.16666666666666666</v>
      </c>
      <c r="I87" s="78">
        <v>10</v>
      </c>
      <c r="J87" s="79">
        <v>3</v>
      </c>
      <c r="M87" s="83">
        <v>38111</v>
      </c>
      <c r="N87" s="80">
        <v>0.16666666666666666</v>
      </c>
      <c r="O87" s="78">
        <v>25</v>
      </c>
      <c r="P87" s="79">
        <v>0</v>
      </c>
    </row>
    <row r="88" spans="1:16" ht="12.75">
      <c r="A88" s="83">
        <v>38111</v>
      </c>
      <c r="B88" s="80">
        <v>0.20833333333333334</v>
      </c>
      <c r="C88" s="78">
        <v>10</v>
      </c>
      <c r="D88" s="79">
        <v>0</v>
      </c>
      <c r="G88" s="83">
        <v>38111</v>
      </c>
      <c r="H88" s="80">
        <v>0.20833333333333334</v>
      </c>
      <c r="I88" s="78">
        <v>10</v>
      </c>
      <c r="J88" s="79">
        <v>3</v>
      </c>
      <c r="M88" s="83">
        <v>38111</v>
      </c>
      <c r="N88" s="80">
        <v>0.20833333333333334</v>
      </c>
      <c r="O88" s="78">
        <v>50</v>
      </c>
      <c r="P88" s="79">
        <v>3</v>
      </c>
    </row>
    <row r="89" spans="1:16" ht="12.75">
      <c r="A89" s="83">
        <v>38111</v>
      </c>
      <c r="B89" s="80">
        <v>0.25</v>
      </c>
      <c r="C89" s="78">
        <v>17</v>
      </c>
      <c r="D89" s="79">
        <v>0</v>
      </c>
      <c r="G89" s="83">
        <v>38111</v>
      </c>
      <c r="H89" s="80">
        <v>0.25</v>
      </c>
      <c r="I89" s="78">
        <v>17</v>
      </c>
      <c r="J89" s="79">
        <v>3</v>
      </c>
      <c r="M89" s="83">
        <v>38111</v>
      </c>
      <c r="N89" s="80">
        <v>0.25</v>
      </c>
      <c r="O89" s="78">
        <v>80</v>
      </c>
      <c r="P89" s="79">
        <v>3</v>
      </c>
    </row>
    <row r="90" spans="1:16" ht="12.75">
      <c r="A90" s="83">
        <v>38111</v>
      </c>
      <c r="B90" s="80">
        <v>0.2916666666666667</v>
      </c>
      <c r="C90" s="78">
        <v>25</v>
      </c>
      <c r="D90" s="79">
        <v>0</v>
      </c>
      <c r="G90" s="83">
        <v>38111</v>
      </c>
      <c r="H90" s="80">
        <v>0.2916666666666667</v>
      </c>
      <c r="I90" s="78">
        <v>31</v>
      </c>
      <c r="J90" s="79">
        <v>3</v>
      </c>
      <c r="M90" s="83">
        <v>38111</v>
      </c>
      <c r="N90" s="80">
        <v>0.2916666666666667</v>
      </c>
      <c r="O90" s="78">
        <v>74</v>
      </c>
      <c r="P90" s="79">
        <v>0</v>
      </c>
    </row>
    <row r="91" spans="1:16" ht="12.75">
      <c r="A91" s="83">
        <v>38111</v>
      </c>
      <c r="B91" s="80">
        <v>0.3333333333333333</v>
      </c>
      <c r="C91" s="78">
        <v>31</v>
      </c>
      <c r="D91" s="79">
        <v>0</v>
      </c>
      <c r="G91" s="83">
        <v>38111</v>
      </c>
      <c r="H91" s="80">
        <v>0.3333333333333333</v>
      </c>
      <c r="I91" s="78">
        <v>36</v>
      </c>
      <c r="J91" s="79">
        <v>3</v>
      </c>
      <c r="M91" s="83">
        <v>38111</v>
      </c>
      <c r="N91" s="80">
        <v>0.3333333333333333</v>
      </c>
      <c r="O91" s="78">
        <v>84</v>
      </c>
      <c r="P91" s="79">
        <v>3</v>
      </c>
    </row>
    <row r="92" spans="1:16" ht="12.75">
      <c r="A92" s="83">
        <v>38111</v>
      </c>
      <c r="B92" s="80">
        <v>0.375</v>
      </c>
      <c r="C92" s="78">
        <v>53</v>
      </c>
      <c r="D92" s="79">
        <v>0</v>
      </c>
      <c r="G92" s="83">
        <v>38111</v>
      </c>
      <c r="H92" s="80">
        <v>0.375</v>
      </c>
      <c r="I92" s="78">
        <v>32</v>
      </c>
      <c r="J92" s="79">
        <v>3</v>
      </c>
      <c r="M92" s="83">
        <v>38111</v>
      </c>
      <c r="N92" s="80">
        <v>0.375</v>
      </c>
      <c r="O92" s="78">
        <v>78</v>
      </c>
      <c r="P92" s="79">
        <v>3</v>
      </c>
    </row>
    <row r="93" spans="1:16" ht="12.75">
      <c r="A93" s="83">
        <v>38111</v>
      </c>
      <c r="B93" s="80">
        <v>0.4166666666666667</v>
      </c>
      <c r="C93" s="78">
        <v>29</v>
      </c>
      <c r="D93" s="79">
        <v>0</v>
      </c>
      <c r="G93" s="83">
        <v>38111</v>
      </c>
      <c r="H93" s="80">
        <v>0.4166666666666667</v>
      </c>
      <c r="I93" s="78">
        <v>32</v>
      </c>
      <c r="J93" s="79">
        <v>3</v>
      </c>
      <c r="M93" s="83">
        <v>38111</v>
      </c>
      <c r="N93" s="80">
        <v>0.4166666666666667</v>
      </c>
      <c r="O93" s="78">
        <v>86</v>
      </c>
      <c r="P93" s="79">
        <v>0</v>
      </c>
    </row>
    <row r="94" spans="1:16" ht="12.75">
      <c r="A94" s="83">
        <v>38111</v>
      </c>
      <c r="B94" s="80">
        <v>0.4583333333333333</v>
      </c>
      <c r="C94" s="78">
        <v>27</v>
      </c>
      <c r="D94" s="79">
        <v>0</v>
      </c>
      <c r="G94" s="83">
        <v>38111</v>
      </c>
      <c r="H94" s="80">
        <v>0.4583333333333333</v>
      </c>
      <c r="I94" s="78">
        <v>27</v>
      </c>
      <c r="J94" s="79">
        <v>3</v>
      </c>
      <c r="M94" s="83">
        <v>38111</v>
      </c>
      <c r="N94" s="80">
        <v>0.4583333333333333</v>
      </c>
      <c r="O94" s="78">
        <v>99</v>
      </c>
      <c r="P94" s="79">
        <v>3</v>
      </c>
    </row>
    <row r="95" spans="1:16" ht="12.75">
      <c r="A95" s="83">
        <v>38111</v>
      </c>
      <c r="B95" s="80">
        <v>0.5</v>
      </c>
      <c r="C95" s="78">
        <v>19</v>
      </c>
      <c r="D95" s="79">
        <v>0</v>
      </c>
      <c r="G95" s="83">
        <v>38111</v>
      </c>
      <c r="H95" s="80">
        <v>0.5</v>
      </c>
      <c r="I95" s="78">
        <v>27</v>
      </c>
      <c r="J95" s="79">
        <v>3</v>
      </c>
      <c r="M95" s="83">
        <v>38111</v>
      </c>
      <c r="N95" s="80">
        <v>0.5</v>
      </c>
      <c r="O95" s="78">
        <v>84</v>
      </c>
      <c r="P95" s="79">
        <v>3</v>
      </c>
    </row>
    <row r="96" spans="1:16" ht="12.75">
      <c r="A96" s="83">
        <v>38111</v>
      </c>
      <c r="B96" s="80">
        <v>0.5416666666666666</v>
      </c>
      <c r="C96" s="78">
        <v>17</v>
      </c>
      <c r="D96" s="79">
        <v>0</v>
      </c>
      <c r="G96" s="83">
        <v>38111</v>
      </c>
      <c r="H96" s="80">
        <v>0.5416666666666666</v>
      </c>
      <c r="I96" s="78">
        <v>21</v>
      </c>
      <c r="J96" s="79">
        <v>3</v>
      </c>
      <c r="M96" s="83">
        <v>38111</v>
      </c>
      <c r="N96" s="80">
        <v>0.5416666666666666</v>
      </c>
      <c r="O96" s="78">
        <v>78</v>
      </c>
      <c r="P96" s="79">
        <v>0</v>
      </c>
    </row>
    <row r="97" spans="1:16" ht="12.75">
      <c r="A97" s="83">
        <v>38111</v>
      </c>
      <c r="B97" s="80">
        <v>0.5833333333333334</v>
      </c>
      <c r="C97" s="78">
        <v>17</v>
      </c>
      <c r="D97" s="79">
        <v>0</v>
      </c>
      <c r="G97" s="83">
        <v>38111</v>
      </c>
      <c r="H97" s="80">
        <v>0.5833333333333334</v>
      </c>
      <c r="I97" s="78">
        <v>31</v>
      </c>
      <c r="J97" s="79">
        <v>5</v>
      </c>
      <c r="M97" s="83">
        <v>38111</v>
      </c>
      <c r="N97" s="80">
        <v>0.5833333333333334</v>
      </c>
      <c r="O97" s="78">
        <v>76</v>
      </c>
      <c r="P97" s="79">
        <v>0</v>
      </c>
    </row>
    <row r="98" spans="1:16" ht="12.75">
      <c r="A98" s="83">
        <v>38111</v>
      </c>
      <c r="B98" s="80">
        <v>0.625</v>
      </c>
      <c r="C98" s="78">
        <v>19</v>
      </c>
      <c r="D98" s="79">
        <v>0</v>
      </c>
      <c r="G98" s="83">
        <v>38111</v>
      </c>
      <c r="H98" s="80">
        <v>0.625</v>
      </c>
      <c r="I98" s="78">
        <v>40</v>
      </c>
      <c r="J98" s="79">
        <v>3</v>
      </c>
      <c r="M98" s="83">
        <v>38111</v>
      </c>
      <c r="N98" s="80">
        <v>0.625</v>
      </c>
      <c r="O98" s="78">
        <v>84</v>
      </c>
      <c r="P98" s="79">
        <v>3</v>
      </c>
    </row>
    <row r="99" spans="1:16" ht="12.75">
      <c r="A99" s="83">
        <v>38111</v>
      </c>
      <c r="B99" s="80">
        <v>0.6666666666666666</v>
      </c>
      <c r="C99" s="78">
        <v>23</v>
      </c>
      <c r="D99" s="79">
        <v>0</v>
      </c>
      <c r="G99" s="83">
        <v>38111</v>
      </c>
      <c r="H99" s="80">
        <v>0.6666666666666666</v>
      </c>
      <c r="I99" s="78">
        <v>38</v>
      </c>
      <c r="J99" s="79">
        <v>3</v>
      </c>
      <c r="M99" s="83">
        <v>38111</v>
      </c>
      <c r="N99" s="80">
        <v>0.6666666666666666</v>
      </c>
      <c r="O99" s="78">
        <v>67</v>
      </c>
      <c r="P99" s="79">
        <v>3</v>
      </c>
    </row>
    <row r="100" spans="1:16" ht="12.75">
      <c r="A100" s="83">
        <v>38111</v>
      </c>
      <c r="B100" s="80">
        <v>0.7083333333333334</v>
      </c>
      <c r="C100" s="78">
        <v>21</v>
      </c>
      <c r="D100" s="79">
        <v>0</v>
      </c>
      <c r="G100" s="83">
        <v>38111</v>
      </c>
      <c r="H100" s="80">
        <v>0.7083333333333334</v>
      </c>
      <c r="I100" s="78">
        <v>31</v>
      </c>
      <c r="J100" s="79">
        <v>3</v>
      </c>
      <c r="M100" s="83">
        <v>38111</v>
      </c>
      <c r="N100" s="80">
        <v>0.7083333333333334</v>
      </c>
      <c r="O100" s="78">
        <v>63</v>
      </c>
      <c r="P100" s="79">
        <v>0</v>
      </c>
    </row>
    <row r="101" spans="1:16" ht="12.75">
      <c r="A101" s="83">
        <v>38111</v>
      </c>
      <c r="B101" s="80">
        <v>0.75</v>
      </c>
      <c r="C101" s="78">
        <v>19</v>
      </c>
      <c r="D101" s="79">
        <v>0</v>
      </c>
      <c r="G101" s="83">
        <v>38111</v>
      </c>
      <c r="H101" s="80">
        <v>0.75</v>
      </c>
      <c r="I101" s="78">
        <v>25</v>
      </c>
      <c r="J101" s="79">
        <v>3</v>
      </c>
      <c r="M101" s="83">
        <v>38111</v>
      </c>
      <c r="N101" s="80">
        <v>0.75</v>
      </c>
      <c r="O101" s="78">
        <v>55</v>
      </c>
      <c r="P101" s="79">
        <v>0</v>
      </c>
    </row>
    <row r="102" spans="1:16" ht="12.75">
      <c r="A102" s="83">
        <v>38111</v>
      </c>
      <c r="B102" s="80">
        <v>0.7916666666666666</v>
      </c>
      <c r="C102" s="78">
        <v>19</v>
      </c>
      <c r="D102" s="79">
        <v>0</v>
      </c>
      <c r="G102" s="83">
        <v>38111</v>
      </c>
      <c r="H102" s="80">
        <v>0.7916666666666666</v>
      </c>
      <c r="I102" s="78">
        <v>34</v>
      </c>
      <c r="J102" s="79">
        <v>3</v>
      </c>
      <c r="M102" s="83">
        <v>38111</v>
      </c>
      <c r="N102" s="80">
        <v>0.7916666666666666</v>
      </c>
      <c r="O102" s="78">
        <v>59</v>
      </c>
      <c r="P102" s="79">
        <v>0</v>
      </c>
    </row>
    <row r="103" spans="1:16" ht="12.75">
      <c r="A103" s="83">
        <v>38111</v>
      </c>
      <c r="B103" s="80">
        <v>0.8333333333333334</v>
      </c>
      <c r="C103" s="78">
        <v>42</v>
      </c>
      <c r="D103" s="79">
        <v>3</v>
      </c>
      <c r="G103" s="83">
        <v>38111</v>
      </c>
      <c r="H103" s="80">
        <v>0.8333333333333334</v>
      </c>
      <c r="I103" s="78">
        <v>40</v>
      </c>
      <c r="J103" s="79">
        <v>3</v>
      </c>
      <c r="M103" s="83">
        <v>38111</v>
      </c>
      <c r="N103" s="80">
        <v>0.8333333333333334</v>
      </c>
      <c r="O103" s="78">
        <v>57</v>
      </c>
      <c r="P103" s="79">
        <v>0</v>
      </c>
    </row>
    <row r="104" spans="1:16" ht="12.75">
      <c r="A104" s="83">
        <v>38111</v>
      </c>
      <c r="B104" s="80">
        <v>0.875</v>
      </c>
      <c r="C104" s="78">
        <v>46</v>
      </c>
      <c r="D104" s="79">
        <v>3</v>
      </c>
      <c r="G104" s="83">
        <v>38111</v>
      </c>
      <c r="H104" s="80">
        <v>0.875</v>
      </c>
      <c r="I104" s="78">
        <v>46</v>
      </c>
      <c r="J104" s="79">
        <v>3</v>
      </c>
      <c r="M104" s="83">
        <v>38111</v>
      </c>
      <c r="N104" s="80">
        <v>0.875</v>
      </c>
      <c r="O104" s="78">
        <v>50</v>
      </c>
      <c r="P104" s="79">
        <v>0</v>
      </c>
    </row>
    <row r="105" spans="1:16" ht="12.75">
      <c r="A105" s="83">
        <v>38111</v>
      </c>
      <c r="B105" s="80">
        <v>0.9166666666666666</v>
      </c>
      <c r="C105" s="78">
        <v>34</v>
      </c>
      <c r="D105" s="79">
        <v>3</v>
      </c>
      <c r="G105" s="83">
        <v>38111</v>
      </c>
      <c r="H105" s="80">
        <v>0.9166666666666666</v>
      </c>
      <c r="I105" s="78">
        <v>55</v>
      </c>
      <c r="J105" s="79">
        <v>5</v>
      </c>
      <c r="M105" s="83">
        <v>38111</v>
      </c>
      <c r="N105" s="80">
        <v>0.9166666666666666</v>
      </c>
      <c r="O105" s="78">
        <v>52</v>
      </c>
      <c r="P105" s="79">
        <v>3</v>
      </c>
    </row>
    <row r="106" spans="1:16" ht="12.75">
      <c r="A106" s="83">
        <v>38111</v>
      </c>
      <c r="B106" s="80">
        <v>0.9583333333333334</v>
      </c>
      <c r="C106" s="78">
        <v>23</v>
      </c>
      <c r="D106" s="79">
        <v>0</v>
      </c>
      <c r="G106" s="83">
        <v>38111</v>
      </c>
      <c r="H106" s="80">
        <v>0.9583333333333334</v>
      </c>
      <c r="I106" s="78">
        <v>36</v>
      </c>
      <c r="J106" s="79">
        <v>8</v>
      </c>
      <c r="M106" s="83">
        <v>38111</v>
      </c>
      <c r="N106" s="80">
        <v>0.9583333333333334</v>
      </c>
      <c r="O106" s="78">
        <v>44</v>
      </c>
      <c r="P106" s="79">
        <v>3</v>
      </c>
    </row>
    <row r="107" spans="1:16" ht="12.75">
      <c r="A107" s="83">
        <v>38111</v>
      </c>
      <c r="B107" s="81">
        <v>1</v>
      </c>
      <c r="C107" s="78">
        <v>21</v>
      </c>
      <c r="D107" s="79">
        <v>0</v>
      </c>
      <c r="G107" s="83">
        <v>38111</v>
      </c>
      <c r="H107" s="81">
        <v>1</v>
      </c>
      <c r="I107" s="78">
        <v>27</v>
      </c>
      <c r="J107" s="79">
        <v>5</v>
      </c>
      <c r="M107" s="83">
        <v>38111</v>
      </c>
      <c r="N107" s="81">
        <v>1</v>
      </c>
      <c r="O107" s="78">
        <v>40</v>
      </c>
      <c r="P107" s="79">
        <v>3</v>
      </c>
    </row>
    <row r="108" spans="1:16" s="92" customFormat="1" ht="12.75">
      <c r="A108" s="90">
        <v>38112</v>
      </c>
      <c r="B108" s="91">
        <v>0.041666666666666664</v>
      </c>
      <c r="C108" s="92">
        <v>19</v>
      </c>
      <c r="D108" s="92">
        <v>0</v>
      </c>
      <c r="G108" s="90">
        <v>38112</v>
      </c>
      <c r="H108" s="91">
        <v>0.041666666666666664</v>
      </c>
      <c r="I108" s="92">
        <v>21</v>
      </c>
      <c r="J108" s="92">
        <v>3</v>
      </c>
      <c r="M108" s="90">
        <v>38112</v>
      </c>
      <c r="N108" s="91">
        <v>0.041666666666666664</v>
      </c>
      <c r="O108" s="92">
        <v>32</v>
      </c>
      <c r="P108" s="92">
        <v>3</v>
      </c>
    </row>
    <row r="109" spans="1:16" ht="12.75">
      <c r="A109" s="83">
        <v>38112</v>
      </c>
      <c r="B109" s="80">
        <v>0.08333333333333333</v>
      </c>
      <c r="C109" s="78">
        <v>11</v>
      </c>
      <c r="D109" s="79">
        <v>0</v>
      </c>
      <c r="G109" s="83">
        <v>38112</v>
      </c>
      <c r="H109" s="80">
        <v>0.08333333333333333</v>
      </c>
      <c r="I109" s="78">
        <v>21</v>
      </c>
      <c r="J109" s="79">
        <v>3</v>
      </c>
      <c r="M109" s="83">
        <v>38112</v>
      </c>
      <c r="N109" s="80">
        <v>0.08333333333333333</v>
      </c>
      <c r="O109" s="78">
        <v>40</v>
      </c>
      <c r="P109" s="79">
        <v>3</v>
      </c>
    </row>
    <row r="110" spans="1:16" ht="12.75">
      <c r="A110" s="83">
        <v>38112</v>
      </c>
      <c r="B110" s="80">
        <v>0.125</v>
      </c>
      <c r="C110" s="78">
        <v>13</v>
      </c>
      <c r="D110" s="79">
        <v>0</v>
      </c>
      <c r="G110" s="83">
        <v>38112</v>
      </c>
      <c r="H110" s="80">
        <v>0.125</v>
      </c>
      <c r="I110" s="78">
        <v>17</v>
      </c>
      <c r="J110" s="79">
        <v>0</v>
      </c>
      <c r="M110" s="83">
        <v>38112</v>
      </c>
      <c r="N110" s="80">
        <v>0.125</v>
      </c>
      <c r="O110" s="78">
        <v>42</v>
      </c>
      <c r="P110" s="79">
        <v>0</v>
      </c>
    </row>
    <row r="111" spans="1:16" ht="12.75">
      <c r="A111" s="83">
        <v>38112</v>
      </c>
      <c r="B111" s="80">
        <v>0.16666666666666666</v>
      </c>
      <c r="C111" s="78">
        <v>10</v>
      </c>
      <c r="D111" s="79">
        <v>3</v>
      </c>
      <c r="G111" s="83">
        <v>38112</v>
      </c>
      <c r="H111" s="80">
        <v>0.16666666666666666</v>
      </c>
      <c r="I111" s="78">
        <v>19</v>
      </c>
      <c r="J111" s="79">
        <v>0</v>
      </c>
      <c r="M111" s="83">
        <v>38112</v>
      </c>
      <c r="N111" s="80">
        <v>0.16666666666666666</v>
      </c>
      <c r="O111" s="78">
        <v>52</v>
      </c>
      <c r="P111" s="79">
        <v>0</v>
      </c>
    </row>
    <row r="112" spans="1:16" ht="12.75">
      <c r="A112" s="83">
        <v>38112</v>
      </c>
      <c r="B112" s="80">
        <v>0.20833333333333334</v>
      </c>
      <c r="C112" s="78">
        <v>15</v>
      </c>
      <c r="D112" s="79">
        <v>3</v>
      </c>
      <c r="G112" s="83">
        <v>38112</v>
      </c>
      <c r="H112" s="80">
        <v>0.20833333333333334</v>
      </c>
      <c r="I112" s="78">
        <v>21</v>
      </c>
      <c r="J112" s="79">
        <v>0</v>
      </c>
      <c r="M112" s="83">
        <v>38112</v>
      </c>
      <c r="N112" s="80">
        <v>0.20833333333333334</v>
      </c>
      <c r="O112" s="78">
        <v>65</v>
      </c>
      <c r="P112" s="79">
        <v>0</v>
      </c>
    </row>
    <row r="113" spans="1:16" ht="12.75">
      <c r="A113" s="83">
        <v>38112</v>
      </c>
      <c r="B113" s="80">
        <v>0.25</v>
      </c>
      <c r="C113" s="78">
        <v>27</v>
      </c>
      <c r="D113" s="79">
        <v>3</v>
      </c>
      <c r="G113" s="83">
        <v>38112</v>
      </c>
      <c r="H113" s="80">
        <v>0.25</v>
      </c>
      <c r="I113" s="78">
        <v>27</v>
      </c>
      <c r="J113" s="79">
        <v>3</v>
      </c>
      <c r="M113" s="83">
        <v>38112</v>
      </c>
      <c r="N113" s="80">
        <v>0.25</v>
      </c>
      <c r="O113" s="78">
        <v>80</v>
      </c>
      <c r="P113" s="79">
        <v>3</v>
      </c>
    </row>
    <row r="114" spans="1:16" ht="12.75">
      <c r="A114" s="83">
        <v>38112</v>
      </c>
      <c r="B114" s="80">
        <v>0.2916666666666667</v>
      </c>
      <c r="C114" s="78">
        <v>27</v>
      </c>
      <c r="D114" s="79">
        <v>0</v>
      </c>
      <c r="G114" s="83">
        <v>38112</v>
      </c>
      <c r="H114" s="80">
        <v>0.2916666666666667</v>
      </c>
      <c r="I114" s="78">
        <v>42</v>
      </c>
      <c r="J114" s="79">
        <v>3</v>
      </c>
      <c r="M114" s="83">
        <v>38112</v>
      </c>
      <c r="N114" s="80">
        <v>0.2916666666666667</v>
      </c>
      <c r="O114" s="78">
        <v>69</v>
      </c>
      <c r="P114" s="79">
        <v>3</v>
      </c>
    </row>
    <row r="115" spans="1:16" ht="12.75">
      <c r="A115" s="83">
        <v>38112</v>
      </c>
      <c r="B115" s="80">
        <v>0.3333333333333333</v>
      </c>
      <c r="C115" s="78">
        <v>44</v>
      </c>
      <c r="D115" s="79">
        <v>3</v>
      </c>
      <c r="G115" s="83">
        <v>38112</v>
      </c>
      <c r="H115" s="80">
        <v>0.3333333333333333</v>
      </c>
      <c r="I115" s="78">
        <v>32</v>
      </c>
      <c r="J115" s="79">
        <v>3</v>
      </c>
      <c r="M115" s="83">
        <v>38112</v>
      </c>
      <c r="N115" s="80">
        <v>0.3333333333333333</v>
      </c>
      <c r="O115" s="78">
        <v>69</v>
      </c>
      <c r="P115" s="79">
        <v>3</v>
      </c>
    </row>
    <row r="116" spans="1:14" ht="12.75">
      <c r="A116" s="83">
        <v>38112</v>
      </c>
      <c r="B116" s="80">
        <v>0.375</v>
      </c>
      <c r="C116" s="78">
        <v>38</v>
      </c>
      <c r="D116" s="79">
        <v>0</v>
      </c>
      <c r="G116" s="83">
        <v>38112</v>
      </c>
      <c r="H116" s="80">
        <v>0.375</v>
      </c>
      <c r="I116" s="78">
        <v>23</v>
      </c>
      <c r="J116" s="79">
        <v>3</v>
      </c>
      <c r="M116" s="83">
        <v>38112</v>
      </c>
      <c r="N116" s="80">
        <v>0.375</v>
      </c>
    </row>
    <row r="117" spans="1:16" ht="12.75">
      <c r="A117" s="83">
        <v>38112</v>
      </c>
      <c r="B117" s="80">
        <v>0.4166666666666667</v>
      </c>
      <c r="C117" s="78">
        <v>31</v>
      </c>
      <c r="D117" s="79">
        <v>0</v>
      </c>
      <c r="G117" s="83">
        <v>38112</v>
      </c>
      <c r="H117" s="80">
        <v>0.4166666666666667</v>
      </c>
      <c r="I117" s="78">
        <v>17</v>
      </c>
      <c r="J117" s="79">
        <v>3</v>
      </c>
      <c r="M117" s="83">
        <v>38112</v>
      </c>
      <c r="N117" s="80">
        <v>0.4166666666666667</v>
      </c>
      <c r="P117" s="79">
        <v>3</v>
      </c>
    </row>
    <row r="118" spans="1:16" ht="12.75">
      <c r="A118" s="83">
        <v>38112</v>
      </c>
      <c r="B118" s="80">
        <v>0.4583333333333333</v>
      </c>
      <c r="C118" s="78">
        <v>29</v>
      </c>
      <c r="D118" s="79">
        <v>0</v>
      </c>
      <c r="G118" s="83">
        <v>38112</v>
      </c>
      <c r="H118" s="80">
        <v>0.4583333333333333</v>
      </c>
      <c r="I118" s="78">
        <v>27</v>
      </c>
      <c r="J118" s="79">
        <v>8</v>
      </c>
      <c r="M118" s="83">
        <v>38112</v>
      </c>
      <c r="N118" s="80">
        <v>0.4583333333333333</v>
      </c>
      <c r="O118" s="78">
        <v>61</v>
      </c>
      <c r="P118" s="79">
        <v>3</v>
      </c>
    </row>
    <row r="119" spans="1:16" ht="12.75">
      <c r="A119" s="83">
        <v>38112</v>
      </c>
      <c r="B119" s="80">
        <v>0.5</v>
      </c>
      <c r="C119" s="78">
        <v>25</v>
      </c>
      <c r="D119" s="79">
        <v>0</v>
      </c>
      <c r="G119" s="83">
        <v>38112</v>
      </c>
      <c r="H119" s="80">
        <v>0.5</v>
      </c>
      <c r="I119" s="78">
        <v>31</v>
      </c>
      <c r="J119" s="79">
        <v>8</v>
      </c>
      <c r="M119" s="83">
        <v>38112</v>
      </c>
      <c r="N119" s="80">
        <v>0.5</v>
      </c>
      <c r="O119" s="78">
        <v>65</v>
      </c>
      <c r="P119" s="79">
        <v>3</v>
      </c>
    </row>
    <row r="120" spans="1:16" ht="12.75">
      <c r="A120" s="83">
        <v>38112</v>
      </c>
      <c r="B120" s="80">
        <v>0.5416666666666666</v>
      </c>
      <c r="C120" s="78">
        <v>23</v>
      </c>
      <c r="D120" s="79">
        <v>0</v>
      </c>
      <c r="G120" s="83">
        <v>38112</v>
      </c>
      <c r="H120" s="80">
        <v>0.5416666666666666</v>
      </c>
      <c r="I120" s="78">
        <v>27</v>
      </c>
      <c r="J120" s="79">
        <v>13</v>
      </c>
      <c r="M120" s="83">
        <v>38112</v>
      </c>
      <c r="N120" s="80">
        <v>0.5416666666666666</v>
      </c>
      <c r="O120" s="78">
        <v>50</v>
      </c>
      <c r="P120" s="79">
        <v>3</v>
      </c>
    </row>
    <row r="121" spans="1:16" ht="12.75">
      <c r="A121" s="83">
        <v>38112</v>
      </c>
      <c r="B121" s="80">
        <v>0.5833333333333334</v>
      </c>
      <c r="C121" s="78">
        <v>19</v>
      </c>
      <c r="D121" s="79">
        <v>0</v>
      </c>
      <c r="G121" s="83">
        <v>38112</v>
      </c>
      <c r="H121" s="80">
        <v>0.5833333333333334</v>
      </c>
      <c r="I121" s="78">
        <v>31</v>
      </c>
      <c r="J121" s="79">
        <v>59</v>
      </c>
      <c r="M121" s="83">
        <v>38112</v>
      </c>
      <c r="N121" s="80">
        <v>0.5833333333333334</v>
      </c>
      <c r="O121" s="78">
        <v>59</v>
      </c>
      <c r="P121" s="79">
        <v>3</v>
      </c>
    </row>
    <row r="122" spans="1:16" ht="12.75">
      <c r="A122" s="83">
        <v>38112</v>
      </c>
      <c r="B122" s="80">
        <v>0.625</v>
      </c>
      <c r="C122" s="78">
        <v>25</v>
      </c>
      <c r="D122" s="79">
        <v>0</v>
      </c>
      <c r="G122" s="83">
        <v>38112</v>
      </c>
      <c r="H122" s="80">
        <v>0.625</v>
      </c>
      <c r="I122" s="78">
        <v>31</v>
      </c>
      <c r="J122" s="79">
        <v>8</v>
      </c>
      <c r="M122" s="83">
        <v>38112</v>
      </c>
      <c r="N122" s="80">
        <v>0.625</v>
      </c>
      <c r="O122" s="78">
        <v>55</v>
      </c>
      <c r="P122" s="79">
        <v>3</v>
      </c>
    </row>
    <row r="123" spans="1:16" ht="12.75">
      <c r="A123" s="83">
        <v>38112</v>
      </c>
      <c r="B123" s="80">
        <v>0.6666666666666666</v>
      </c>
      <c r="C123" s="78">
        <v>27</v>
      </c>
      <c r="D123" s="79">
        <v>0</v>
      </c>
      <c r="G123" s="83">
        <v>38112</v>
      </c>
      <c r="H123" s="80">
        <v>0.6666666666666666</v>
      </c>
      <c r="I123" s="78">
        <v>23</v>
      </c>
      <c r="J123" s="79">
        <v>8</v>
      </c>
      <c r="M123" s="83">
        <v>38112</v>
      </c>
      <c r="N123" s="80">
        <v>0.6666666666666666</v>
      </c>
      <c r="O123" s="78">
        <v>65</v>
      </c>
      <c r="P123" s="79">
        <v>3</v>
      </c>
    </row>
    <row r="124" spans="1:16" ht="12.75">
      <c r="A124" s="83">
        <v>38112</v>
      </c>
      <c r="B124" s="80">
        <v>0.7083333333333334</v>
      </c>
      <c r="C124" s="78">
        <v>34</v>
      </c>
      <c r="D124" s="79">
        <v>0</v>
      </c>
      <c r="G124" s="83">
        <v>38112</v>
      </c>
      <c r="H124" s="80">
        <v>0.7083333333333334</v>
      </c>
      <c r="I124" s="78">
        <v>25</v>
      </c>
      <c r="J124" s="79">
        <v>11</v>
      </c>
      <c r="M124" s="83">
        <v>38112</v>
      </c>
      <c r="N124" s="80">
        <v>0.7083333333333334</v>
      </c>
      <c r="O124" s="78">
        <v>65</v>
      </c>
      <c r="P124" s="79">
        <v>3</v>
      </c>
    </row>
    <row r="125" spans="1:16" ht="12.75">
      <c r="A125" s="83">
        <v>38112</v>
      </c>
      <c r="B125" s="80">
        <v>0.75</v>
      </c>
      <c r="C125" s="78">
        <v>29</v>
      </c>
      <c r="D125" s="79">
        <v>0</v>
      </c>
      <c r="G125" s="83">
        <v>38112</v>
      </c>
      <c r="H125" s="80">
        <v>0.75</v>
      </c>
      <c r="I125" s="78">
        <v>23</v>
      </c>
      <c r="J125" s="79">
        <v>21</v>
      </c>
      <c r="M125" s="83">
        <v>38112</v>
      </c>
      <c r="N125" s="80">
        <v>0.75</v>
      </c>
      <c r="O125" s="78">
        <v>65</v>
      </c>
      <c r="P125" s="79">
        <v>3</v>
      </c>
    </row>
    <row r="126" spans="1:16" ht="12.75">
      <c r="A126" s="83">
        <v>38112</v>
      </c>
      <c r="B126" s="80">
        <v>0.7916666666666666</v>
      </c>
      <c r="C126" s="78">
        <v>32</v>
      </c>
      <c r="D126" s="79">
        <v>0</v>
      </c>
      <c r="G126" s="83">
        <v>38112</v>
      </c>
      <c r="H126" s="80">
        <v>0.7916666666666666</v>
      </c>
      <c r="I126" s="78">
        <v>21</v>
      </c>
      <c r="J126" s="79">
        <v>8</v>
      </c>
      <c r="M126" s="83">
        <v>38112</v>
      </c>
      <c r="N126" s="80">
        <v>0.7916666666666666</v>
      </c>
      <c r="O126" s="78">
        <v>74</v>
      </c>
      <c r="P126" s="79">
        <v>3</v>
      </c>
    </row>
    <row r="127" spans="1:16" ht="12.75">
      <c r="A127" s="83">
        <v>38112</v>
      </c>
      <c r="B127" s="80">
        <v>0.8333333333333334</v>
      </c>
      <c r="C127" s="78">
        <v>31</v>
      </c>
      <c r="D127" s="79">
        <v>0</v>
      </c>
      <c r="G127" s="83">
        <v>38112</v>
      </c>
      <c r="H127" s="80">
        <v>0.8333333333333334</v>
      </c>
      <c r="I127" s="78">
        <v>19</v>
      </c>
      <c r="J127" s="79">
        <v>3</v>
      </c>
      <c r="M127" s="83">
        <v>38112</v>
      </c>
      <c r="N127" s="80">
        <v>0.8333333333333334</v>
      </c>
      <c r="O127" s="78">
        <v>67</v>
      </c>
      <c r="P127" s="79">
        <v>3</v>
      </c>
    </row>
    <row r="128" spans="1:16" ht="12.75">
      <c r="A128" s="83">
        <v>38112</v>
      </c>
      <c r="B128" s="80">
        <v>0.875</v>
      </c>
      <c r="C128" s="78">
        <v>50</v>
      </c>
      <c r="D128" s="79">
        <v>0</v>
      </c>
      <c r="G128" s="83">
        <v>38112</v>
      </c>
      <c r="H128" s="80">
        <v>0.875</v>
      </c>
      <c r="I128" s="78">
        <v>21</v>
      </c>
      <c r="J128" s="79">
        <v>3</v>
      </c>
      <c r="M128" s="83">
        <v>38112</v>
      </c>
      <c r="N128" s="80">
        <v>0.875</v>
      </c>
      <c r="O128" s="78">
        <v>65</v>
      </c>
      <c r="P128" s="79">
        <v>3</v>
      </c>
    </row>
    <row r="129" spans="1:16" ht="12.75">
      <c r="A129" s="83">
        <v>38112</v>
      </c>
      <c r="B129" s="80">
        <v>0.9166666666666666</v>
      </c>
      <c r="C129" s="78">
        <v>61</v>
      </c>
      <c r="D129" s="79">
        <v>3</v>
      </c>
      <c r="G129" s="83">
        <v>38112</v>
      </c>
      <c r="H129" s="80">
        <v>0.9166666666666666</v>
      </c>
      <c r="I129" s="78">
        <v>29</v>
      </c>
      <c r="J129" s="79">
        <v>3</v>
      </c>
      <c r="M129" s="83">
        <v>38112</v>
      </c>
      <c r="N129" s="80">
        <v>0.9166666666666666</v>
      </c>
      <c r="O129" s="78">
        <v>67</v>
      </c>
      <c r="P129" s="79">
        <v>3</v>
      </c>
    </row>
    <row r="130" spans="1:16" ht="12.75">
      <c r="A130" s="83">
        <v>38112</v>
      </c>
      <c r="B130" s="80">
        <v>0.9583333333333334</v>
      </c>
      <c r="C130" s="78">
        <v>48</v>
      </c>
      <c r="D130" s="79">
        <v>3</v>
      </c>
      <c r="G130" s="83">
        <v>38112</v>
      </c>
      <c r="H130" s="80">
        <v>0.9583333333333334</v>
      </c>
      <c r="I130" s="78">
        <v>23</v>
      </c>
      <c r="J130" s="79">
        <v>3</v>
      </c>
      <c r="M130" s="83">
        <v>38112</v>
      </c>
      <c r="N130" s="80">
        <v>0.9583333333333334</v>
      </c>
      <c r="O130" s="78">
        <v>61</v>
      </c>
      <c r="P130" s="79">
        <v>3</v>
      </c>
    </row>
    <row r="131" spans="1:16" ht="12.75">
      <c r="A131" s="83">
        <v>38112</v>
      </c>
      <c r="B131" s="81">
        <v>1</v>
      </c>
      <c r="C131" s="78">
        <v>21</v>
      </c>
      <c r="D131" s="79">
        <v>0</v>
      </c>
      <c r="G131" s="83">
        <v>38112</v>
      </c>
      <c r="H131" s="81">
        <v>1</v>
      </c>
      <c r="I131" s="78">
        <v>19</v>
      </c>
      <c r="J131" s="79">
        <v>3</v>
      </c>
      <c r="M131" s="83">
        <v>38112</v>
      </c>
      <c r="N131" s="81">
        <v>1</v>
      </c>
      <c r="O131" s="78">
        <v>50</v>
      </c>
      <c r="P131" s="79">
        <v>0</v>
      </c>
    </row>
    <row r="132" spans="1:16" s="92" customFormat="1" ht="12.75">
      <c r="A132" s="90">
        <v>38113</v>
      </c>
      <c r="B132" s="91">
        <v>0.041666666666666664</v>
      </c>
      <c r="C132" s="92">
        <v>17</v>
      </c>
      <c r="D132" s="92">
        <v>3</v>
      </c>
      <c r="G132" s="90">
        <v>38113</v>
      </c>
      <c r="H132" s="91">
        <v>0.041666666666666664</v>
      </c>
      <c r="I132" s="92">
        <v>25</v>
      </c>
      <c r="J132" s="92">
        <v>3</v>
      </c>
      <c r="M132" s="90">
        <v>38113</v>
      </c>
      <c r="N132" s="91">
        <v>0.041666666666666664</v>
      </c>
      <c r="O132" s="92">
        <v>44</v>
      </c>
      <c r="P132" s="92">
        <v>0</v>
      </c>
    </row>
    <row r="133" spans="1:16" ht="12.75">
      <c r="A133" s="83">
        <v>38113</v>
      </c>
      <c r="B133" s="80">
        <v>0.08333333333333333</v>
      </c>
      <c r="C133" s="78">
        <v>19</v>
      </c>
      <c r="D133" s="79">
        <v>3</v>
      </c>
      <c r="G133" s="83">
        <v>38113</v>
      </c>
      <c r="H133" s="80">
        <v>0.08333333333333333</v>
      </c>
      <c r="I133" s="78">
        <v>29</v>
      </c>
      <c r="J133" s="79">
        <v>3</v>
      </c>
      <c r="M133" s="83">
        <v>38113</v>
      </c>
      <c r="N133" s="80">
        <v>0.08333333333333333</v>
      </c>
      <c r="O133" s="78">
        <v>44</v>
      </c>
      <c r="P133" s="79">
        <v>0</v>
      </c>
    </row>
    <row r="134" spans="1:16" ht="12.75">
      <c r="A134" s="83">
        <v>38113</v>
      </c>
      <c r="B134" s="80">
        <v>0.125</v>
      </c>
      <c r="C134" s="78">
        <v>13</v>
      </c>
      <c r="D134" s="79">
        <v>3</v>
      </c>
      <c r="G134" s="83">
        <v>38113</v>
      </c>
      <c r="H134" s="80">
        <v>0.125</v>
      </c>
      <c r="I134" s="78">
        <v>17</v>
      </c>
      <c r="J134" s="79">
        <v>3</v>
      </c>
      <c r="M134" s="83">
        <v>38113</v>
      </c>
      <c r="N134" s="80">
        <v>0.125</v>
      </c>
      <c r="O134" s="78">
        <v>44</v>
      </c>
      <c r="P134" s="79">
        <v>0</v>
      </c>
    </row>
    <row r="135" spans="1:16" ht="12.75">
      <c r="A135" s="83">
        <v>38113</v>
      </c>
      <c r="B135" s="80">
        <v>0.16666666666666666</v>
      </c>
      <c r="C135" s="78">
        <v>13</v>
      </c>
      <c r="D135" s="79">
        <v>3</v>
      </c>
      <c r="G135" s="83">
        <v>38113</v>
      </c>
      <c r="H135" s="80">
        <v>0.16666666666666666</v>
      </c>
      <c r="I135" s="78">
        <v>13</v>
      </c>
      <c r="J135" s="79">
        <v>3</v>
      </c>
      <c r="M135" s="83">
        <v>38113</v>
      </c>
      <c r="N135" s="80">
        <v>0.16666666666666666</v>
      </c>
      <c r="O135" s="78">
        <v>48</v>
      </c>
      <c r="P135" s="79">
        <v>0</v>
      </c>
    </row>
    <row r="136" spans="1:16" ht="12.75">
      <c r="A136" s="83">
        <v>38113</v>
      </c>
      <c r="B136" s="80">
        <v>0.20833333333333334</v>
      </c>
      <c r="C136" s="78">
        <v>17</v>
      </c>
      <c r="D136" s="79">
        <v>3</v>
      </c>
      <c r="G136" s="83">
        <v>38113</v>
      </c>
      <c r="H136" s="80">
        <v>0.20833333333333334</v>
      </c>
      <c r="I136" s="78">
        <v>19</v>
      </c>
      <c r="J136" s="79">
        <v>3</v>
      </c>
      <c r="M136" s="83">
        <v>38113</v>
      </c>
      <c r="N136" s="80">
        <v>0.20833333333333334</v>
      </c>
      <c r="O136" s="78">
        <v>57</v>
      </c>
      <c r="P136" s="79">
        <v>0</v>
      </c>
    </row>
    <row r="137" spans="1:16" ht="12.75">
      <c r="A137" s="83">
        <v>38113</v>
      </c>
      <c r="B137" s="80">
        <v>0.25</v>
      </c>
      <c r="C137" s="78">
        <v>32</v>
      </c>
      <c r="D137" s="79">
        <v>0</v>
      </c>
      <c r="G137" s="83">
        <v>38113</v>
      </c>
      <c r="H137" s="80">
        <v>0.25</v>
      </c>
      <c r="I137" s="78">
        <v>25</v>
      </c>
      <c r="J137" s="79">
        <v>3</v>
      </c>
      <c r="M137" s="83">
        <v>38113</v>
      </c>
      <c r="N137" s="80">
        <v>0.25</v>
      </c>
      <c r="O137" s="78">
        <v>73</v>
      </c>
      <c r="P137" s="79">
        <v>0</v>
      </c>
    </row>
    <row r="138" spans="1:16" ht="12.75">
      <c r="A138" s="83">
        <v>38113</v>
      </c>
      <c r="B138" s="80">
        <v>0.2916666666666667</v>
      </c>
      <c r="C138" s="78">
        <v>40</v>
      </c>
      <c r="D138" s="79">
        <v>3</v>
      </c>
      <c r="G138" s="83">
        <v>38113</v>
      </c>
      <c r="H138" s="80">
        <v>0.2916666666666667</v>
      </c>
      <c r="I138" s="78">
        <v>36</v>
      </c>
      <c r="J138" s="79">
        <v>3</v>
      </c>
      <c r="M138" s="83">
        <v>38113</v>
      </c>
      <c r="N138" s="80">
        <v>0.2916666666666667</v>
      </c>
      <c r="O138" s="78">
        <v>67</v>
      </c>
      <c r="P138" s="79">
        <v>0</v>
      </c>
    </row>
    <row r="139" spans="1:16" ht="12.75">
      <c r="A139" s="83">
        <v>38113</v>
      </c>
      <c r="B139" s="80">
        <v>0.3333333333333333</v>
      </c>
      <c r="C139" s="78">
        <v>48</v>
      </c>
      <c r="D139" s="79">
        <v>3</v>
      </c>
      <c r="G139" s="83">
        <v>38113</v>
      </c>
      <c r="H139" s="80">
        <v>0.3333333333333333</v>
      </c>
      <c r="I139" s="78">
        <v>38</v>
      </c>
      <c r="J139" s="79">
        <v>3</v>
      </c>
      <c r="M139" s="83">
        <v>38113</v>
      </c>
      <c r="N139" s="80">
        <v>0.3333333333333333</v>
      </c>
      <c r="O139" s="78">
        <v>42</v>
      </c>
      <c r="P139" s="79">
        <v>0</v>
      </c>
    </row>
    <row r="140" spans="1:16" ht="12.75">
      <c r="A140" s="83">
        <v>38113</v>
      </c>
      <c r="B140" s="80">
        <v>0.375</v>
      </c>
      <c r="C140" s="78">
        <v>44</v>
      </c>
      <c r="D140" s="79">
        <v>3</v>
      </c>
      <c r="G140" s="83">
        <v>38113</v>
      </c>
      <c r="H140" s="80">
        <v>0.375</v>
      </c>
      <c r="I140" s="78">
        <v>34</v>
      </c>
      <c r="J140" s="79">
        <v>3</v>
      </c>
      <c r="M140" s="83">
        <v>38113</v>
      </c>
      <c r="N140" s="80">
        <v>0.375</v>
      </c>
      <c r="O140" s="78">
        <v>34</v>
      </c>
      <c r="P140" s="79">
        <v>0</v>
      </c>
    </row>
    <row r="141" spans="1:16" ht="12.75">
      <c r="A141" s="83">
        <v>38113</v>
      </c>
      <c r="B141" s="80">
        <v>0.4166666666666667</v>
      </c>
      <c r="C141" s="78">
        <v>40</v>
      </c>
      <c r="D141" s="79">
        <v>3</v>
      </c>
      <c r="G141" s="83">
        <v>38113</v>
      </c>
      <c r="H141" s="80">
        <v>0.4166666666666667</v>
      </c>
      <c r="I141" s="78">
        <v>29</v>
      </c>
      <c r="J141" s="79">
        <v>3</v>
      </c>
      <c r="M141" s="83">
        <v>38113</v>
      </c>
      <c r="N141" s="80">
        <v>0.4166666666666667</v>
      </c>
      <c r="O141" s="78">
        <v>36</v>
      </c>
      <c r="P141" s="79">
        <v>0</v>
      </c>
    </row>
    <row r="142" spans="1:16" ht="12.75">
      <c r="A142" s="83">
        <v>38113</v>
      </c>
      <c r="B142" s="80">
        <v>0.4583333333333333</v>
      </c>
      <c r="C142" s="78">
        <v>31</v>
      </c>
      <c r="D142" s="79">
        <v>3</v>
      </c>
      <c r="G142" s="83">
        <v>38113</v>
      </c>
      <c r="H142" s="80">
        <v>0.4583333333333333</v>
      </c>
      <c r="I142" s="78">
        <v>25</v>
      </c>
      <c r="J142" s="79">
        <v>3</v>
      </c>
      <c r="M142" s="83">
        <v>38113</v>
      </c>
      <c r="N142" s="80">
        <v>0.4583333333333333</v>
      </c>
      <c r="O142" s="78">
        <v>52</v>
      </c>
      <c r="P142" s="79">
        <v>0</v>
      </c>
    </row>
    <row r="143" spans="1:16" ht="12.75">
      <c r="A143" s="83">
        <v>38113</v>
      </c>
      <c r="B143" s="80">
        <v>0.5</v>
      </c>
      <c r="C143" s="78">
        <v>29</v>
      </c>
      <c r="D143" s="79">
        <v>0</v>
      </c>
      <c r="G143" s="83">
        <v>38113</v>
      </c>
      <c r="H143" s="80">
        <v>0.5</v>
      </c>
      <c r="I143" s="78">
        <v>32</v>
      </c>
      <c r="J143" s="79">
        <v>13</v>
      </c>
      <c r="M143" s="83">
        <v>38113</v>
      </c>
      <c r="N143" s="80">
        <v>0.5</v>
      </c>
      <c r="O143" s="78">
        <v>55</v>
      </c>
      <c r="P143" s="79">
        <v>0</v>
      </c>
    </row>
    <row r="144" spans="1:16" ht="12.75">
      <c r="A144" s="83">
        <v>38113</v>
      </c>
      <c r="B144" s="80">
        <v>0.5416666666666666</v>
      </c>
      <c r="C144" s="78">
        <v>21</v>
      </c>
      <c r="D144" s="79">
        <v>0</v>
      </c>
      <c r="G144" s="83">
        <v>38113</v>
      </c>
      <c r="H144" s="80">
        <v>0.5416666666666666</v>
      </c>
      <c r="I144" s="78">
        <v>32</v>
      </c>
      <c r="J144" s="79">
        <v>8</v>
      </c>
      <c r="M144" s="83">
        <v>38113</v>
      </c>
      <c r="N144" s="80">
        <v>0.5416666666666666</v>
      </c>
      <c r="O144" s="78">
        <v>42</v>
      </c>
      <c r="P144" s="79">
        <v>0</v>
      </c>
    </row>
    <row r="145" spans="1:16" ht="12.75">
      <c r="A145" s="83">
        <v>38113</v>
      </c>
      <c r="B145" s="80">
        <v>0.5833333333333334</v>
      </c>
      <c r="C145" s="78">
        <v>19</v>
      </c>
      <c r="D145" s="79">
        <v>0</v>
      </c>
      <c r="G145" s="83">
        <v>38113</v>
      </c>
      <c r="H145" s="80">
        <v>0.5833333333333334</v>
      </c>
      <c r="I145" s="78">
        <v>25</v>
      </c>
      <c r="J145" s="79">
        <v>8</v>
      </c>
      <c r="M145" s="83">
        <v>38113</v>
      </c>
      <c r="N145" s="80">
        <v>0.5833333333333334</v>
      </c>
      <c r="O145" s="78">
        <v>34</v>
      </c>
      <c r="P145" s="79">
        <v>0</v>
      </c>
    </row>
    <row r="146" spans="1:16" ht="12.75">
      <c r="A146" s="83">
        <v>38113</v>
      </c>
      <c r="B146" s="80">
        <v>0.625</v>
      </c>
      <c r="C146" s="78">
        <v>19</v>
      </c>
      <c r="D146" s="79">
        <v>0</v>
      </c>
      <c r="G146" s="83">
        <v>38113</v>
      </c>
      <c r="H146" s="80">
        <v>0.625</v>
      </c>
      <c r="I146" s="78">
        <v>21</v>
      </c>
      <c r="J146" s="79">
        <v>0</v>
      </c>
      <c r="M146" s="83">
        <v>38113</v>
      </c>
      <c r="N146" s="80">
        <v>0.625</v>
      </c>
      <c r="O146" s="78">
        <v>50</v>
      </c>
      <c r="P146" s="79">
        <v>0</v>
      </c>
    </row>
    <row r="147" spans="1:16" ht="12.75">
      <c r="A147" s="83">
        <v>38113</v>
      </c>
      <c r="B147" s="80">
        <v>0.6666666666666666</v>
      </c>
      <c r="C147" s="78">
        <v>23</v>
      </c>
      <c r="D147" s="79">
        <v>3</v>
      </c>
      <c r="G147" s="83">
        <v>38113</v>
      </c>
      <c r="H147" s="80">
        <v>0.6666666666666666</v>
      </c>
      <c r="I147" s="78">
        <v>27</v>
      </c>
      <c r="J147" s="79">
        <v>0</v>
      </c>
      <c r="M147" s="83">
        <v>38113</v>
      </c>
      <c r="N147" s="80">
        <v>0.6666666666666666</v>
      </c>
      <c r="O147" s="78">
        <v>59</v>
      </c>
      <c r="P147" s="79">
        <v>0</v>
      </c>
    </row>
    <row r="148" spans="1:16" ht="12.75">
      <c r="A148" s="83">
        <v>38113</v>
      </c>
      <c r="B148" s="80">
        <v>0.7083333333333334</v>
      </c>
      <c r="C148" s="78">
        <v>27</v>
      </c>
      <c r="D148" s="79">
        <v>0</v>
      </c>
      <c r="G148" s="83">
        <v>38113</v>
      </c>
      <c r="H148" s="80">
        <v>0.7083333333333334</v>
      </c>
      <c r="I148" s="78">
        <v>25</v>
      </c>
      <c r="J148" s="79">
        <v>0</v>
      </c>
      <c r="M148" s="83">
        <v>38113</v>
      </c>
      <c r="N148" s="80">
        <v>0.7083333333333334</v>
      </c>
      <c r="O148" s="78">
        <v>57</v>
      </c>
      <c r="P148" s="79">
        <v>0</v>
      </c>
    </row>
    <row r="149" spans="1:16" ht="12.75">
      <c r="A149" s="83">
        <v>38113</v>
      </c>
      <c r="B149" s="80">
        <v>0.75</v>
      </c>
      <c r="C149" s="78">
        <v>25</v>
      </c>
      <c r="D149" s="79">
        <v>0</v>
      </c>
      <c r="G149" s="83">
        <v>38113</v>
      </c>
      <c r="H149" s="80">
        <v>0.75</v>
      </c>
      <c r="I149" s="78">
        <v>25</v>
      </c>
      <c r="J149" s="79">
        <v>0</v>
      </c>
      <c r="M149" s="83">
        <v>38113</v>
      </c>
      <c r="N149" s="80">
        <v>0.75</v>
      </c>
      <c r="O149" s="78">
        <v>57</v>
      </c>
      <c r="P149" s="79">
        <v>0</v>
      </c>
    </row>
    <row r="150" spans="1:16" ht="12.75">
      <c r="A150" s="83">
        <v>38113</v>
      </c>
      <c r="B150" s="80">
        <v>0.7916666666666666</v>
      </c>
      <c r="C150" s="78">
        <v>23</v>
      </c>
      <c r="D150" s="79">
        <v>0</v>
      </c>
      <c r="G150" s="83">
        <v>38113</v>
      </c>
      <c r="H150" s="80">
        <v>0.7916666666666666</v>
      </c>
      <c r="I150" s="78">
        <v>29</v>
      </c>
      <c r="J150" s="79">
        <v>3</v>
      </c>
      <c r="M150" s="83">
        <v>38113</v>
      </c>
      <c r="N150" s="80">
        <v>0.7916666666666666</v>
      </c>
      <c r="O150" s="78">
        <v>29</v>
      </c>
      <c r="P150" s="79">
        <v>0</v>
      </c>
    </row>
    <row r="151" spans="1:16" ht="12.75">
      <c r="A151" s="83">
        <v>38113</v>
      </c>
      <c r="B151" s="80">
        <v>0.8333333333333334</v>
      </c>
      <c r="C151" s="78">
        <v>25</v>
      </c>
      <c r="D151" s="79">
        <v>0</v>
      </c>
      <c r="G151" s="83">
        <v>38113</v>
      </c>
      <c r="H151" s="80">
        <v>0.8333333333333334</v>
      </c>
      <c r="I151" s="78">
        <v>34</v>
      </c>
      <c r="J151" s="79">
        <v>3</v>
      </c>
      <c r="M151" s="83">
        <v>38113</v>
      </c>
      <c r="N151" s="80">
        <v>0.8333333333333334</v>
      </c>
      <c r="O151" s="78">
        <v>42</v>
      </c>
      <c r="P151" s="79">
        <v>0</v>
      </c>
    </row>
    <row r="152" spans="1:16" ht="12.75">
      <c r="A152" s="83">
        <v>38113</v>
      </c>
      <c r="B152" s="80">
        <v>0.875</v>
      </c>
      <c r="C152" s="78">
        <v>27</v>
      </c>
      <c r="D152" s="79">
        <v>0</v>
      </c>
      <c r="G152" s="83">
        <v>38113</v>
      </c>
      <c r="H152" s="80">
        <v>0.875</v>
      </c>
      <c r="I152" s="78">
        <v>44</v>
      </c>
      <c r="J152" s="79">
        <v>3</v>
      </c>
      <c r="M152" s="83">
        <v>38113</v>
      </c>
      <c r="N152" s="80">
        <v>0.875</v>
      </c>
      <c r="O152" s="78">
        <v>50</v>
      </c>
      <c r="P152" s="79">
        <v>0</v>
      </c>
    </row>
    <row r="153" spans="1:16" ht="12.75">
      <c r="A153" s="83">
        <v>38113</v>
      </c>
      <c r="B153" s="80">
        <v>0.9166666666666666</v>
      </c>
      <c r="C153" s="78">
        <v>38</v>
      </c>
      <c r="D153" s="79">
        <v>0</v>
      </c>
      <c r="G153" s="83">
        <v>38113</v>
      </c>
      <c r="H153" s="80">
        <v>0.9166666666666666</v>
      </c>
      <c r="I153" s="78">
        <v>36</v>
      </c>
      <c r="J153" s="79">
        <v>3</v>
      </c>
      <c r="M153" s="83">
        <v>38113</v>
      </c>
      <c r="N153" s="80">
        <v>0.9166666666666666</v>
      </c>
      <c r="O153" s="78">
        <v>57</v>
      </c>
      <c r="P153" s="79">
        <v>0</v>
      </c>
    </row>
    <row r="154" spans="1:16" ht="12.75">
      <c r="A154" s="83">
        <v>38113</v>
      </c>
      <c r="B154" s="80">
        <v>0.9583333333333334</v>
      </c>
      <c r="C154" s="78">
        <v>36</v>
      </c>
      <c r="D154" s="79">
        <v>0</v>
      </c>
      <c r="G154" s="83">
        <v>38113</v>
      </c>
      <c r="H154" s="80">
        <v>0.9583333333333334</v>
      </c>
      <c r="I154" s="78">
        <v>19</v>
      </c>
      <c r="J154" s="79">
        <v>0</v>
      </c>
      <c r="M154" s="83">
        <v>38113</v>
      </c>
      <c r="N154" s="80">
        <v>0.9583333333333334</v>
      </c>
      <c r="O154" s="78">
        <v>53</v>
      </c>
      <c r="P154" s="79">
        <v>0</v>
      </c>
    </row>
    <row r="155" spans="1:16" ht="12.75">
      <c r="A155" s="83">
        <v>38113</v>
      </c>
      <c r="B155" s="81">
        <v>1</v>
      </c>
      <c r="C155" s="78">
        <v>32</v>
      </c>
      <c r="D155" s="79">
        <v>0</v>
      </c>
      <c r="G155" s="83">
        <v>38113</v>
      </c>
      <c r="H155" s="81">
        <v>1</v>
      </c>
      <c r="I155" s="78">
        <v>15</v>
      </c>
      <c r="J155" s="79">
        <v>0</v>
      </c>
      <c r="M155" s="83">
        <v>38113</v>
      </c>
      <c r="N155" s="81">
        <v>1</v>
      </c>
      <c r="O155" s="78">
        <v>55</v>
      </c>
      <c r="P155" s="79">
        <v>0</v>
      </c>
    </row>
    <row r="156" spans="1:16" s="92" customFormat="1" ht="12.75">
      <c r="A156" s="90">
        <v>38114</v>
      </c>
      <c r="B156" s="91">
        <v>0.041666666666666664</v>
      </c>
      <c r="C156" s="92">
        <v>36</v>
      </c>
      <c r="D156" s="92">
        <v>0</v>
      </c>
      <c r="G156" s="90">
        <v>38114</v>
      </c>
      <c r="H156" s="91">
        <v>0.041666666666666664</v>
      </c>
      <c r="I156" s="92">
        <v>11</v>
      </c>
      <c r="J156" s="92">
        <v>3</v>
      </c>
      <c r="M156" s="90">
        <v>38114</v>
      </c>
      <c r="N156" s="91">
        <v>0.041666666666666664</v>
      </c>
      <c r="O156" s="92">
        <v>38</v>
      </c>
      <c r="P156" s="92">
        <v>3</v>
      </c>
    </row>
    <row r="157" spans="1:16" ht="12.75">
      <c r="A157" s="83">
        <v>38114</v>
      </c>
      <c r="B157" s="80">
        <v>0.08333333333333333</v>
      </c>
      <c r="C157" s="78">
        <v>32</v>
      </c>
      <c r="D157" s="79">
        <v>0</v>
      </c>
      <c r="G157" s="83">
        <v>38114</v>
      </c>
      <c r="H157" s="80">
        <v>0.08333333333333333</v>
      </c>
      <c r="I157" s="78">
        <v>13</v>
      </c>
      <c r="J157" s="79">
        <v>0</v>
      </c>
      <c r="M157" s="83">
        <v>38114</v>
      </c>
      <c r="N157" s="80">
        <v>0.08333333333333333</v>
      </c>
      <c r="O157" s="78">
        <v>44</v>
      </c>
      <c r="P157" s="79">
        <v>3</v>
      </c>
    </row>
    <row r="158" spans="1:16" ht="12.75">
      <c r="A158" s="83">
        <v>38114</v>
      </c>
      <c r="B158" s="80">
        <v>0.125</v>
      </c>
      <c r="C158" s="78">
        <v>29</v>
      </c>
      <c r="D158" s="79">
        <v>0</v>
      </c>
      <c r="G158" s="83">
        <v>38114</v>
      </c>
      <c r="H158" s="80">
        <v>0.125</v>
      </c>
      <c r="I158" s="78">
        <v>10</v>
      </c>
      <c r="J158" s="79">
        <v>0</v>
      </c>
      <c r="M158" s="83">
        <v>38114</v>
      </c>
      <c r="N158" s="80">
        <v>0.125</v>
      </c>
      <c r="O158" s="78">
        <v>36</v>
      </c>
      <c r="P158" s="79">
        <v>3</v>
      </c>
    </row>
    <row r="159" spans="1:16" ht="12.75">
      <c r="A159" s="83">
        <v>38114</v>
      </c>
      <c r="B159" s="80">
        <v>0.16666666666666666</v>
      </c>
      <c r="C159" s="78">
        <v>27</v>
      </c>
      <c r="D159" s="79">
        <v>0</v>
      </c>
      <c r="G159" s="83">
        <v>38114</v>
      </c>
      <c r="H159" s="80">
        <v>0.16666666666666666</v>
      </c>
      <c r="I159" s="78">
        <v>10</v>
      </c>
      <c r="J159" s="79">
        <v>3</v>
      </c>
      <c r="M159" s="83">
        <v>38114</v>
      </c>
      <c r="N159" s="80">
        <v>0.16666666666666666</v>
      </c>
      <c r="O159" s="78">
        <v>27</v>
      </c>
      <c r="P159" s="79">
        <v>3</v>
      </c>
    </row>
    <row r="160" spans="1:16" ht="12.75">
      <c r="A160" s="83">
        <v>38114</v>
      </c>
      <c r="B160" s="80">
        <v>0.20833333333333334</v>
      </c>
      <c r="C160" s="78">
        <v>31</v>
      </c>
      <c r="D160" s="79">
        <v>0</v>
      </c>
      <c r="G160" s="83">
        <v>38114</v>
      </c>
      <c r="H160" s="80">
        <v>0.20833333333333334</v>
      </c>
      <c r="I160" s="78">
        <v>11</v>
      </c>
      <c r="J160" s="79">
        <v>3</v>
      </c>
      <c r="M160" s="83">
        <v>38114</v>
      </c>
      <c r="N160" s="80">
        <v>0.20833333333333334</v>
      </c>
      <c r="O160" s="78">
        <v>38</v>
      </c>
      <c r="P160" s="79">
        <v>3</v>
      </c>
    </row>
    <row r="161" spans="1:16" ht="12.75">
      <c r="A161" s="83">
        <v>38114</v>
      </c>
      <c r="B161" s="80">
        <v>0.25</v>
      </c>
      <c r="C161" s="78">
        <v>46</v>
      </c>
      <c r="D161" s="79">
        <v>3</v>
      </c>
      <c r="G161" s="83">
        <v>38114</v>
      </c>
      <c r="H161" s="80">
        <v>0.25</v>
      </c>
      <c r="I161" s="78">
        <v>19</v>
      </c>
      <c r="J161" s="79">
        <v>3</v>
      </c>
      <c r="M161" s="83">
        <v>38114</v>
      </c>
      <c r="N161" s="80">
        <v>0.25</v>
      </c>
      <c r="O161" s="78">
        <v>40</v>
      </c>
      <c r="P161" s="79">
        <v>3</v>
      </c>
    </row>
    <row r="162" spans="1:16" ht="12.75">
      <c r="A162" s="83">
        <v>38114</v>
      </c>
      <c r="B162" s="80">
        <v>0.2916666666666667</v>
      </c>
      <c r="C162" s="78">
        <v>36</v>
      </c>
      <c r="D162" s="79">
        <v>0</v>
      </c>
      <c r="G162" s="83">
        <v>38114</v>
      </c>
      <c r="H162" s="80">
        <v>0.2916666666666667</v>
      </c>
      <c r="I162" s="78">
        <v>36</v>
      </c>
      <c r="J162" s="79">
        <v>3</v>
      </c>
      <c r="M162" s="83">
        <v>38114</v>
      </c>
      <c r="N162" s="80">
        <v>0.2916666666666667</v>
      </c>
      <c r="O162" s="78">
        <v>34</v>
      </c>
      <c r="P162" s="79">
        <v>3</v>
      </c>
    </row>
    <row r="163" spans="1:16" ht="12.75">
      <c r="A163" s="83">
        <v>38114</v>
      </c>
      <c r="B163" s="80">
        <v>0.3333333333333333</v>
      </c>
      <c r="C163" s="78">
        <v>38</v>
      </c>
      <c r="D163" s="79">
        <v>3</v>
      </c>
      <c r="G163" s="83">
        <v>38114</v>
      </c>
      <c r="H163" s="80">
        <v>0.3333333333333333</v>
      </c>
      <c r="I163" s="78">
        <v>38</v>
      </c>
      <c r="J163" s="79">
        <v>3</v>
      </c>
      <c r="M163" s="83">
        <v>38114</v>
      </c>
      <c r="N163" s="80">
        <v>0.3333333333333333</v>
      </c>
      <c r="O163" s="78">
        <v>29</v>
      </c>
      <c r="P163" s="79">
        <v>5</v>
      </c>
    </row>
    <row r="164" spans="1:16" ht="12.75">
      <c r="A164" s="83">
        <v>38114</v>
      </c>
      <c r="B164" s="80">
        <v>0.375</v>
      </c>
      <c r="C164" s="78">
        <v>42</v>
      </c>
      <c r="D164" s="79">
        <v>5</v>
      </c>
      <c r="G164" s="83">
        <v>38114</v>
      </c>
      <c r="H164" s="80">
        <v>0.375</v>
      </c>
      <c r="I164" s="78">
        <v>40</v>
      </c>
      <c r="J164" s="79">
        <v>3</v>
      </c>
      <c r="M164" s="83">
        <v>38114</v>
      </c>
      <c r="N164" s="80">
        <v>0.375</v>
      </c>
      <c r="O164" s="78">
        <v>21</v>
      </c>
      <c r="P164" s="79">
        <v>5</v>
      </c>
    </row>
    <row r="165" spans="1:16" ht="12.75">
      <c r="A165" s="83">
        <v>38114</v>
      </c>
      <c r="B165" s="80">
        <v>0.4166666666666667</v>
      </c>
      <c r="C165" s="78">
        <v>29</v>
      </c>
      <c r="D165" s="79">
        <v>8</v>
      </c>
      <c r="G165" s="83">
        <v>38114</v>
      </c>
      <c r="H165" s="80">
        <v>0.4166666666666667</v>
      </c>
      <c r="I165" s="78">
        <v>29</v>
      </c>
      <c r="J165" s="79">
        <v>3</v>
      </c>
      <c r="M165" s="83">
        <v>38114</v>
      </c>
      <c r="N165" s="80">
        <v>0.4166666666666667</v>
      </c>
      <c r="O165" s="78">
        <v>15</v>
      </c>
      <c r="P165" s="79">
        <v>5</v>
      </c>
    </row>
    <row r="166" spans="1:16" ht="12.75">
      <c r="A166" s="83">
        <v>38114</v>
      </c>
      <c r="B166" s="80">
        <v>0.4583333333333333</v>
      </c>
      <c r="C166" s="78">
        <v>25</v>
      </c>
      <c r="D166" s="79">
        <v>5</v>
      </c>
      <c r="G166" s="83">
        <v>38114</v>
      </c>
      <c r="H166" s="80">
        <v>0.4583333333333333</v>
      </c>
      <c r="I166" s="78">
        <v>31</v>
      </c>
      <c r="J166" s="79">
        <v>3</v>
      </c>
      <c r="M166" s="83">
        <v>38114</v>
      </c>
      <c r="N166" s="80">
        <v>0.4583333333333333</v>
      </c>
      <c r="O166" s="78">
        <v>13</v>
      </c>
      <c r="P166" s="79">
        <v>5</v>
      </c>
    </row>
    <row r="167" spans="1:16" ht="12.75">
      <c r="A167" s="83">
        <v>38114</v>
      </c>
      <c r="B167" s="80">
        <v>0.5</v>
      </c>
      <c r="C167" s="78">
        <v>23</v>
      </c>
      <c r="D167" s="79">
        <v>3</v>
      </c>
      <c r="G167" s="83">
        <v>38114</v>
      </c>
      <c r="H167" s="80">
        <v>0.5</v>
      </c>
      <c r="I167" s="78">
        <v>38</v>
      </c>
      <c r="J167" s="79">
        <v>3</v>
      </c>
      <c r="M167" s="83">
        <v>38114</v>
      </c>
      <c r="N167" s="80">
        <v>0.5</v>
      </c>
      <c r="O167" s="78">
        <v>13</v>
      </c>
      <c r="P167" s="79">
        <v>3</v>
      </c>
    </row>
    <row r="168" spans="1:16" ht="12.75">
      <c r="A168" s="83">
        <v>38114</v>
      </c>
      <c r="B168" s="80">
        <v>0.5416666666666666</v>
      </c>
      <c r="C168" s="78">
        <v>27</v>
      </c>
      <c r="D168" s="79">
        <v>3</v>
      </c>
      <c r="G168" s="83">
        <v>38114</v>
      </c>
      <c r="H168" s="80">
        <v>0.5416666666666666</v>
      </c>
      <c r="I168" s="78">
        <v>36</v>
      </c>
      <c r="J168" s="79">
        <v>5</v>
      </c>
      <c r="M168" s="83">
        <v>38114</v>
      </c>
      <c r="N168" s="80">
        <v>0.5416666666666666</v>
      </c>
      <c r="O168" s="78">
        <v>8</v>
      </c>
      <c r="P168" s="79">
        <v>3</v>
      </c>
    </row>
    <row r="169" spans="1:16" ht="12.75">
      <c r="A169" s="83">
        <v>38114</v>
      </c>
      <c r="B169" s="80">
        <v>0.5833333333333334</v>
      </c>
      <c r="C169" s="78">
        <v>36</v>
      </c>
      <c r="D169" s="79">
        <v>0</v>
      </c>
      <c r="G169" s="83">
        <v>38114</v>
      </c>
      <c r="H169" s="80">
        <v>0.5833333333333334</v>
      </c>
      <c r="I169" s="78">
        <v>36</v>
      </c>
      <c r="J169" s="79">
        <v>5</v>
      </c>
      <c r="M169" s="83">
        <v>38114</v>
      </c>
      <c r="N169" s="80">
        <v>0.5833333333333334</v>
      </c>
      <c r="O169" s="78">
        <v>8</v>
      </c>
      <c r="P169" s="79">
        <v>3</v>
      </c>
    </row>
    <row r="170" spans="1:16" ht="12.75">
      <c r="A170" s="83">
        <v>38114</v>
      </c>
      <c r="B170" s="80">
        <v>0.625</v>
      </c>
      <c r="C170" s="78">
        <v>29</v>
      </c>
      <c r="D170" s="79">
        <v>0</v>
      </c>
      <c r="G170" s="83">
        <v>38114</v>
      </c>
      <c r="H170" s="80">
        <v>0.625</v>
      </c>
      <c r="I170" s="78">
        <v>21</v>
      </c>
      <c r="J170" s="79">
        <v>3</v>
      </c>
      <c r="M170" s="83">
        <v>38114</v>
      </c>
      <c r="N170" s="80">
        <v>0.625</v>
      </c>
      <c r="O170" s="78">
        <v>13</v>
      </c>
      <c r="P170" s="79">
        <v>3</v>
      </c>
    </row>
    <row r="171" spans="1:16" ht="12.75">
      <c r="A171" s="83">
        <v>38114</v>
      </c>
      <c r="B171" s="80">
        <v>0.6666666666666666</v>
      </c>
      <c r="C171" s="78">
        <v>31</v>
      </c>
      <c r="D171" s="79">
        <v>0</v>
      </c>
      <c r="G171" s="83">
        <v>38114</v>
      </c>
      <c r="H171" s="80">
        <v>0.6666666666666666</v>
      </c>
      <c r="I171" s="78">
        <v>23</v>
      </c>
      <c r="J171" s="79">
        <v>3</v>
      </c>
      <c r="M171" s="83">
        <v>38114</v>
      </c>
      <c r="N171" s="80">
        <v>0.6666666666666666</v>
      </c>
      <c r="O171" s="78">
        <v>13</v>
      </c>
      <c r="P171" s="79">
        <v>3</v>
      </c>
    </row>
    <row r="172" spans="1:16" ht="12.75">
      <c r="A172" s="83">
        <v>38114</v>
      </c>
      <c r="B172" s="80">
        <v>0.7083333333333334</v>
      </c>
      <c r="C172" s="78">
        <v>34</v>
      </c>
      <c r="D172" s="79">
        <v>0</v>
      </c>
      <c r="G172" s="83">
        <v>38114</v>
      </c>
      <c r="H172" s="80">
        <v>0.7083333333333334</v>
      </c>
      <c r="I172" s="78">
        <v>46</v>
      </c>
      <c r="J172" s="79">
        <v>74</v>
      </c>
      <c r="M172" s="83">
        <v>38114</v>
      </c>
      <c r="N172" s="80">
        <v>0.7083333333333334</v>
      </c>
      <c r="O172" s="78">
        <v>15</v>
      </c>
      <c r="P172" s="79">
        <v>3</v>
      </c>
    </row>
    <row r="173" spans="1:16" ht="12.75">
      <c r="A173" s="83">
        <v>38114</v>
      </c>
      <c r="B173" s="80">
        <v>0.75</v>
      </c>
      <c r="C173" s="78">
        <v>11</v>
      </c>
      <c r="D173" s="79">
        <v>0</v>
      </c>
      <c r="G173" s="83">
        <v>38114</v>
      </c>
      <c r="H173" s="80">
        <v>0.75</v>
      </c>
      <c r="I173" s="78">
        <v>53</v>
      </c>
      <c r="J173" s="79">
        <v>72</v>
      </c>
      <c r="M173" s="83">
        <v>38114</v>
      </c>
      <c r="N173" s="80">
        <v>0.75</v>
      </c>
      <c r="O173" s="78">
        <v>23</v>
      </c>
      <c r="P173" s="79">
        <v>3</v>
      </c>
    </row>
    <row r="174" spans="1:16" ht="12.75">
      <c r="A174" s="83">
        <v>38114</v>
      </c>
      <c r="B174" s="80">
        <v>0.7916666666666666</v>
      </c>
      <c r="C174" s="78">
        <v>10</v>
      </c>
      <c r="D174" s="79">
        <v>0</v>
      </c>
      <c r="G174" s="83">
        <v>38114</v>
      </c>
      <c r="H174" s="80">
        <v>0.7916666666666666</v>
      </c>
      <c r="I174" s="78">
        <v>36</v>
      </c>
      <c r="J174" s="79">
        <v>24</v>
      </c>
      <c r="M174" s="83">
        <v>38114</v>
      </c>
      <c r="N174" s="80">
        <v>0.7916666666666666</v>
      </c>
      <c r="O174" s="78">
        <v>29</v>
      </c>
      <c r="P174" s="79">
        <v>5</v>
      </c>
    </row>
    <row r="175" spans="1:16" ht="12.75">
      <c r="A175" s="83">
        <v>38114</v>
      </c>
      <c r="B175" s="80">
        <v>0.8333333333333334</v>
      </c>
      <c r="C175" s="78">
        <v>19</v>
      </c>
      <c r="D175" s="79">
        <v>0</v>
      </c>
      <c r="G175" s="83">
        <v>38114</v>
      </c>
      <c r="H175" s="80">
        <v>0.8333333333333334</v>
      </c>
      <c r="I175" s="78">
        <v>23</v>
      </c>
      <c r="J175" s="79">
        <v>3</v>
      </c>
      <c r="M175" s="83">
        <v>38114</v>
      </c>
      <c r="N175" s="80">
        <v>0.8333333333333334</v>
      </c>
      <c r="O175" s="78">
        <v>25</v>
      </c>
      <c r="P175" s="79">
        <v>5</v>
      </c>
    </row>
    <row r="176" spans="1:16" ht="12.75">
      <c r="A176" s="83">
        <v>38114</v>
      </c>
      <c r="B176" s="80">
        <v>0.875</v>
      </c>
      <c r="C176" s="78">
        <v>17</v>
      </c>
      <c r="D176" s="79">
        <v>0</v>
      </c>
      <c r="G176" s="83">
        <v>38114</v>
      </c>
      <c r="H176" s="80">
        <v>0.875</v>
      </c>
      <c r="I176" s="78">
        <v>25</v>
      </c>
      <c r="J176" s="79">
        <v>3</v>
      </c>
      <c r="M176" s="83">
        <v>38114</v>
      </c>
      <c r="N176" s="80">
        <v>0.875</v>
      </c>
      <c r="O176" s="78">
        <v>31</v>
      </c>
      <c r="P176" s="79">
        <v>3</v>
      </c>
    </row>
    <row r="177" spans="1:16" ht="12.75">
      <c r="A177" s="83">
        <v>38114</v>
      </c>
      <c r="B177" s="80">
        <v>0.9166666666666666</v>
      </c>
      <c r="C177" s="78">
        <v>34</v>
      </c>
      <c r="D177" s="79">
        <v>0</v>
      </c>
      <c r="G177" s="83">
        <v>38114</v>
      </c>
      <c r="H177" s="80">
        <v>0.9166666666666666</v>
      </c>
      <c r="I177" s="78">
        <v>19</v>
      </c>
      <c r="J177" s="79">
        <v>0</v>
      </c>
      <c r="M177" s="83">
        <v>38114</v>
      </c>
      <c r="N177" s="80">
        <v>0.9166666666666666</v>
      </c>
      <c r="O177" s="78">
        <v>23</v>
      </c>
      <c r="P177" s="79">
        <v>8</v>
      </c>
    </row>
    <row r="178" spans="1:16" ht="12.75">
      <c r="A178" s="83">
        <v>38114</v>
      </c>
      <c r="B178" s="80">
        <v>0.9583333333333334</v>
      </c>
      <c r="C178" s="78">
        <v>34</v>
      </c>
      <c r="D178" s="79">
        <v>0</v>
      </c>
      <c r="G178" s="83">
        <v>38114</v>
      </c>
      <c r="H178" s="80">
        <v>0.9583333333333334</v>
      </c>
      <c r="I178" s="78">
        <v>21</v>
      </c>
      <c r="J178" s="79">
        <v>0</v>
      </c>
      <c r="M178" s="83">
        <v>38114</v>
      </c>
      <c r="N178" s="80">
        <v>0.9583333333333334</v>
      </c>
      <c r="O178" s="78">
        <v>11</v>
      </c>
      <c r="P178" s="79">
        <v>3</v>
      </c>
    </row>
    <row r="179" spans="1:16" ht="12.75">
      <c r="A179" s="83">
        <v>38114</v>
      </c>
      <c r="B179" s="81">
        <v>1</v>
      </c>
      <c r="C179" s="78">
        <v>21</v>
      </c>
      <c r="D179" s="79">
        <v>0</v>
      </c>
      <c r="G179" s="83">
        <v>38114</v>
      </c>
      <c r="H179" s="81">
        <v>1</v>
      </c>
      <c r="I179" s="78">
        <v>19</v>
      </c>
      <c r="J179" s="79">
        <v>0</v>
      </c>
      <c r="M179" s="83">
        <v>38114</v>
      </c>
      <c r="N179" s="81">
        <v>1</v>
      </c>
      <c r="O179" s="78">
        <v>10</v>
      </c>
      <c r="P179" s="79">
        <v>3</v>
      </c>
    </row>
    <row r="180" spans="1:16" s="92" customFormat="1" ht="12.75">
      <c r="A180" s="90">
        <v>38115</v>
      </c>
      <c r="B180" s="91">
        <v>0.041666666666666664</v>
      </c>
      <c r="C180" s="92">
        <v>17</v>
      </c>
      <c r="D180" s="92">
        <v>0</v>
      </c>
      <c r="G180" s="90">
        <v>38115</v>
      </c>
      <c r="H180" s="91">
        <v>0.041666666666666664</v>
      </c>
      <c r="I180" s="92">
        <v>25</v>
      </c>
      <c r="J180" s="92">
        <v>3</v>
      </c>
      <c r="M180" s="90">
        <v>38115</v>
      </c>
      <c r="N180" s="91">
        <v>0.041666666666666664</v>
      </c>
      <c r="O180" s="92">
        <v>8</v>
      </c>
      <c r="P180" s="92">
        <v>3</v>
      </c>
    </row>
    <row r="181" spans="1:16" ht="12.75">
      <c r="A181" s="83">
        <v>38115</v>
      </c>
      <c r="B181" s="80">
        <v>0.08333333333333333</v>
      </c>
      <c r="C181" s="78">
        <v>23</v>
      </c>
      <c r="D181" s="79">
        <v>0</v>
      </c>
      <c r="G181" s="83">
        <v>38115</v>
      </c>
      <c r="H181" s="80">
        <v>0.08333333333333333</v>
      </c>
      <c r="I181" s="78">
        <v>42</v>
      </c>
      <c r="J181" s="79">
        <v>3</v>
      </c>
      <c r="M181" s="83">
        <v>38115</v>
      </c>
      <c r="N181" s="80">
        <v>0.08333333333333333</v>
      </c>
      <c r="O181" s="78">
        <v>10</v>
      </c>
      <c r="P181" s="79">
        <v>3</v>
      </c>
    </row>
    <row r="182" spans="1:16" ht="12.75">
      <c r="A182" s="83">
        <v>38115</v>
      </c>
      <c r="B182" s="80">
        <v>0.125</v>
      </c>
      <c r="C182" s="78">
        <v>19</v>
      </c>
      <c r="D182" s="79">
        <v>0</v>
      </c>
      <c r="G182" s="83">
        <v>38115</v>
      </c>
      <c r="H182" s="80">
        <v>0.125</v>
      </c>
      <c r="I182" s="78">
        <v>36</v>
      </c>
      <c r="J182" s="79">
        <v>3</v>
      </c>
      <c r="M182" s="83">
        <v>38115</v>
      </c>
      <c r="N182" s="80">
        <v>0.125</v>
      </c>
      <c r="O182" s="78">
        <v>6</v>
      </c>
      <c r="P182" s="79">
        <v>3</v>
      </c>
    </row>
    <row r="183" spans="1:16" ht="12.75">
      <c r="A183" s="83">
        <v>38115</v>
      </c>
      <c r="B183" s="80">
        <v>0.16666666666666666</v>
      </c>
      <c r="C183" s="78">
        <v>4</v>
      </c>
      <c r="D183" s="79">
        <v>0</v>
      </c>
      <c r="G183" s="83">
        <v>38115</v>
      </c>
      <c r="H183" s="80">
        <v>0.16666666666666666</v>
      </c>
      <c r="I183" s="78">
        <v>32</v>
      </c>
      <c r="J183" s="79">
        <v>3</v>
      </c>
      <c r="M183" s="83">
        <v>38115</v>
      </c>
      <c r="N183" s="80">
        <v>0.16666666666666666</v>
      </c>
      <c r="O183" s="78">
        <v>4</v>
      </c>
      <c r="P183" s="79">
        <v>3</v>
      </c>
    </row>
    <row r="184" spans="1:16" ht="12.75">
      <c r="A184" s="83">
        <v>38115</v>
      </c>
      <c r="B184" s="80">
        <v>0.20833333333333334</v>
      </c>
      <c r="C184" s="78">
        <v>6</v>
      </c>
      <c r="D184" s="79">
        <v>0</v>
      </c>
      <c r="G184" s="83">
        <v>38115</v>
      </c>
      <c r="H184" s="80">
        <v>0.20833333333333334</v>
      </c>
      <c r="I184" s="78">
        <v>34</v>
      </c>
      <c r="J184" s="79">
        <v>3</v>
      </c>
      <c r="M184" s="83">
        <v>38115</v>
      </c>
      <c r="N184" s="80">
        <v>0.20833333333333334</v>
      </c>
      <c r="O184" s="78">
        <v>6</v>
      </c>
      <c r="P184" s="79">
        <v>3</v>
      </c>
    </row>
    <row r="185" spans="1:16" ht="12.75">
      <c r="A185" s="83">
        <v>38115</v>
      </c>
      <c r="B185" s="80">
        <v>0.25</v>
      </c>
      <c r="C185" s="78">
        <v>8</v>
      </c>
      <c r="D185" s="79">
        <v>0</v>
      </c>
      <c r="G185" s="83">
        <v>38115</v>
      </c>
      <c r="H185" s="80">
        <v>0.25</v>
      </c>
      <c r="I185" s="78">
        <v>38</v>
      </c>
      <c r="J185" s="79">
        <v>3</v>
      </c>
      <c r="M185" s="83">
        <v>38115</v>
      </c>
      <c r="N185" s="80">
        <v>0.25</v>
      </c>
      <c r="O185" s="78">
        <v>8</v>
      </c>
      <c r="P185" s="79">
        <v>3</v>
      </c>
    </row>
    <row r="186" spans="1:16" ht="12.75">
      <c r="A186" s="83">
        <v>38115</v>
      </c>
      <c r="B186" s="80">
        <v>0.2916666666666667</v>
      </c>
      <c r="C186" s="78">
        <v>11</v>
      </c>
      <c r="D186" s="79">
        <v>0</v>
      </c>
      <c r="G186" s="83">
        <v>38115</v>
      </c>
      <c r="H186" s="80">
        <v>0.2916666666666667</v>
      </c>
      <c r="I186" s="78">
        <v>48</v>
      </c>
      <c r="J186" s="79">
        <v>3</v>
      </c>
      <c r="M186" s="83">
        <v>38115</v>
      </c>
      <c r="N186" s="80">
        <v>0.2916666666666667</v>
      </c>
      <c r="O186" s="78">
        <v>11</v>
      </c>
      <c r="P186" s="79">
        <v>3</v>
      </c>
    </row>
    <row r="187" spans="1:16" ht="12.75">
      <c r="A187" s="83">
        <v>38115</v>
      </c>
      <c r="B187" s="80">
        <v>0.3333333333333333</v>
      </c>
      <c r="C187" s="78">
        <v>11</v>
      </c>
      <c r="D187" s="79">
        <v>0</v>
      </c>
      <c r="G187" s="83">
        <v>38115</v>
      </c>
      <c r="H187" s="80">
        <v>0.3333333333333333</v>
      </c>
      <c r="I187" s="78">
        <v>53</v>
      </c>
      <c r="J187" s="79">
        <v>5</v>
      </c>
      <c r="M187" s="83">
        <v>38115</v>
      </c>
      <c r="N187" s="80">
        <v>0.3333333333333333</v>
      </c>
      <c r="O187" s="78">
        <v>13</v>
      </c>
      <c r="P187" s="79">
        <v>3</v>
      </c>
    </row>
    <row r="188" spans="1:16" ht="12.75">
      <c r="A188" s="83">
        <v>38115</v>
      </c>
      <c r="B188" s="80">
        <v>0.375</v>
      </c>
      <c r="C188" s="78">
        <v>10</v>
      </c>
      <c r="D188" s="79">
        <v>0</v>
      </c>
      <c r="G188" s="83">
        <v>38115</v>
      </c>
      <c r="H188" s="80">
        <v>0.375</v>
      </c>
      <c r="I188" s="78">
        <v>52</v>
      </c>
      <c r="J188" s="79">
        <v>5</v>
      </c>
      <c r="M188" s="83">
        <v>38115</v>
      </c>
      <c r="N188" s="80">
        <v>0.375</v>
      </c>
      <c r="O188" s="78">
        <v>13</v>
      </c>
      <c r="P188" s="79">
        <v>3</v>
      </c>
    </row>
    <row r="189" spans="1:16" ht="12.75">
      <c r="A189" s="83">
        <v>38115</v>
      </c>
      <c r="B189" s="80">
        <v>0.4166666666666667</v>
      </c>
      <c r="C189" s="78">
        <v>11</v>
      </c>
      <c r="D189" s="79">
        <v>0</v>
      </c>
      <c r="G189" s="83">
        <v>38115</v>
      </c>
      <c r="H189" s="80">
        <v>0.4166666666666667</v>
      </c>
      <c r="I189" s="78">
        <v>63</v>
      </c>
      <c r="J189" s="79">
        <v>5</v>
      </c>
      <c r="M189" s="83">
        <v>38115</v>
      </c>
      <c r="N189" s="80">
        <v>0.4166666666666667</v>
      </c>
      <c r="O189" s="78">
        <v>13</v>
      </c>
      <c r="P189" s="79">
        <v>3</v>
      </c>
    </row>
    <row r="190" spans="1:16" ht="12.75">
      <c r="A190" s="83">
        <v>38115</v>
      </c>
      <c r="B190" s="80">
        <v>0.4583333333333333</v>
      </c>
      <c r="C190" s="78">
        <v>11</v>
      </c>
      <c r="D190" s="79">
        <v>0</v>
      </c>
      <c r="G190" s="83">
        <v>38115</v>
      </c>
      <c r="H190" s="80">
        <v>0.4583333333333333</v>
      </c>
      <c r="I190" s="78">
        <v>52</v>
      </c>
      <c r="J190" s="79">
        <v>5</v>
      </c>
      <c r="M190" s="83">
        <v>38115</v>
      </c>
      <c r="N190" s="80">
        <v>0.4583333333333333</v>
      </c>
      <c r="O190" s="78">
        <v>15</v>
      </c>
      <c r="P190" s="79">
        <v>3</v>
      </c>
    </row>
    <row r="191" spans="1:16" ht="12.75">
      <c r="A191" s="83">
        <v>38115</v>
      </c>
      <c r="B191" s="80">
        <v>0.5</v>
      </c>
      <c r="C191" s="78">
        <v>11</v>
      </c>
      <c r="D191" s="79">
        <v>0</v>
      </c>
      <c r="G191" s="83">
        <v>38115</v>
      </c>
      <c r="H191" s="80">
        <v>0.5</v>
      </c>
      <c r="I191" s="78">
        <v>40</v>
      </c>
      <c r="J191" s="79">
        <v>3</v>
      </c>
      <c r="M191" s="83">
        <v>38115</v>
      </c>
      <c r="N191" s="80">
        <v>0.5</v>
      </c>
      <c r="O191" s="78">
        <v>17</v>
      </c>
      <c r="P191" s="79">
        <v>3</v>
      </c>
    </row>
    <row r="192" spans="1:16" ht="12.75">
      <c r="A192" s="83">
        <v>38115</v>
      </c>
      <c r="B192" s="80">
        <v>0.5416666666666666</v>
      </c>
      <c r="C192" s="78">
        <v>13</v>
      </c>
      <c r="D192" s="79">
        <v>0</v>
      </c>
      <c r="G192" s="83">
        <v>38115</v>
      </c>
      <c r="H192" s="80">
        <v>0.5416666666666666</v>
      </c>
      <c r="I192" s="78">
        <v>31</v>
      </c>
      <c r="J192" s="79">
        <v>3</v>
      </c>
      <c r="M192" s="83">
        <v>38115</v>
      </c>
      <c r="N192" s="80">
        <v>0.5416666666666666</v>
      </c>
      <c r="O192" s="78">
        <v>15</v>
      </c>
      <c r="P192" s="79">
        <v>3</v>
      </c>
    </row>
    <row r="193" spans="1:16" ht="12.75">
      <c r="A193" s="83">
        <v>38115</v>
      </c>
      <c r="B193" s="80">
        <v>0.5833333333333334</v>
      </c>
      <c r="C193" s="78">
        <v>21</v>
      </c>
      <c r="D193" s="79">
        <v>0</v>
      </c>
      <c r="G193" s="83">
        <v>38115</v>
      </c>
      <c r="H193" s="80">
        <v>0.5833333333333334</v>
      </c>
      <c r="I193" s="78">
        <v>27</v>
      </c>
      <c r="J193" s="79">
        <v>3</v>
      </c>
      <c r="M193" s="83">
        <v>38115</v>
      </c>
      <c r="N193" s="80">
        <v>0.5833333333333334</v>
      </c>
      <c r="O193" s="78">
        <v>17</v>
      </c>
      <c r="P193" s="79">
        <v>3</v>
      </c>
    </row>
    <row r="194" spans="1:16" ht="12.75">
      <c r="A194" s="83">
        <v>38115</v>
      </c>
      <c r="B194" s="80">
        <v>0.625</v>
      </c>
      <c r="C194" s="78">
        <v>15</v>
      </c>
      <c r="D194" s="79">
        <v>0</v>
      </c>
      <c r="G194" s="83">
        <v>38115</v>
      </c>
      <c r="H194" s="80">
        <v>0.625</v>
      </c>
      <c r="I194" s="78">
        <v>32</v>
      </c>
      <c r="J194" s="79">
        <v>3</v>
      </c>
      <c r="M194" s="83">
        <v>38115</v>
      </c>
      <c r="N194" s="80">
        <v>0.625</v>
      </c>
      <c r="O194" s="78">
        <v>15</v>
      </c>
      <c r="P194" s="79">
        <v>3</v>
      </c>
    </row>
    <row r="195" spans="1:16" ht="12.75">
      <c r="A195" s="83">
        <v>38115</v>
      </c>
      <c r="B195" s="80">
        <v>0.6666666666666666</v>
      </c>
      <c r="C195" s="78">
        <v>13</v>
      </c>
      <c r="D195" s="79">
        <v>0</v>
      </c>
      <c r="G195" s="83">
        <v>38115</v>
      </c>
      <c r="H195" s="80">
        <v>0.6666666666666666</v>
      </c>
      <c r="I195" s="78">
        <v>19</v>
      </c>
      <c r="J195" s="79">
        <v>0</v>
      </c>
      <c r="M195" s="83">
        <v>38115</v>
      </c>
      <c r="N195" s="80">
        <v>0.6666666666666666</v>
      </c>
      <c r="O195" s="78">
        <v>15</v>
      </c>
      <c r="P195" s="79">
        <v>3</v>
      </c>
    </row>
    <row r="196" spans="1:16" ht="12.75">
      <c r="A196" s="83">
        <v>38115</v>
      </c>
      <c r="B196" s="80">
        <v>0.7083333333333334</v>
      </c>
      <c r="C196" s="78">
        <v>13</v>
      </c>
      <c r="D196" s="79">
        <v>0</v>
      </c>
      <c r="G196" s="83">
        <v>38115</v>
      </c>
      <c r="H196" s="80">
        <v>0.7083333333333334</v>
      </c>
      <c r="I196" s="78">
        <v>19</v>
      </c>
      <c r="J196" s="79">
        <v>0</v>
      </c>
      <c r="M196" s="83">
        <v>38115</v>
      </c>
      <c r="N196" s="80">
        <v>0.7083333333333334</v>
      </c>
      <c r="O196" s="78">
        <v>15</v>
      </c>
      <c r="P196" s="79">
        <v>3</v>
      </c>
    </row>
    <row r="197" spans="1:16" ht="12.75">
      <c r="A197" s="83">
        <v>38115</v>
      </c>
      <c r="B197" s="80">
        <v>0.75</v>
      </c>
      <c r="C197" s="78">
        <v>13</v>
      </c>
      <c r="D197" s="79">
        <v>0</v>
      </c>
      <c r="G197" s="83">
        <v>38115</v>
      </c>
      <c r="H197" s="80">
        <v>0.75</v>
      </c>
      <c r="I197" s="78">
        <v>19</v>
      </c>
      <c r="J197" s="79">
        <v>0</v>
      </c>
      <c r="M197" s="83">
        <v>38115</v>
      </c>
      <c r="N197" s="80">
        <v>0.75</v>
      </c>
      <c r="O197" s="78">
        <v>15</v>
      </c>
      <c r="P197" s="79">
        <v>3</v>
      </c>
    </row>
    <row r="198" spans="1:16" ht="12.75">
      <c r="A198" s="83">
        <v>38115</v>
      </c>
      <c r="B198" s="80">
        <v>0.7916666666666666</v>
      </c>
      <c r="C198" s="78">
        <v>21</v>
      </c>
      <c r="D198" s="79">
        <v>0</v>
      </c>
      <c r="G198" s="83">
        <v>38115</v>
      </c>
      <c r="H198" s="80">
        <v>0.7916666666666666</v>
      </c>
      <c r="I198" s="78">
        <v>17</v>
      </c>
      <c r="J198" s="79">
        <v>0</v>
      </c>
      <c r="M198" s="83">
        <v>38115</v>
      </c>
      <c r="N198" s="80">
        <v>0.7916666666666666</v>
      </c>
      <c r="O198" s="78">
        <v>21</v>
      </c>
      <c r="P198" s="79">
        <v>3</v>
      </c>
    </row>
    <row r="199" spans="1:16" ht="12.75">
      <c r="A199" s="83">
        <v>38115</v>
      </c>
      <c r="B199" s="80">
        <v>0.8333333333333334</v>
      </c>
      <c r="C199" s="78">
        <v>27</v>
      </c>
      <c r="D199" s="79">
        <v>0</v>
      </c>
      <c r="G199" s="83">
        <v>38115</v>
      </c>
      <c r="H199" s="80">
        <v>0.8333333333333334</v>
      </c>
      <c r="I199" s="78">
        <v>23</v>
      </c>
      <c r="J199" s="79">
        <v>0</v>
      </c>
      <c r="M199" s="83">
        <v>38115</v>
      </c>
      <c r="N199" s="80">
        <v>0.8333333333333334</v>
      </c>
      <c r="O199" s="78">
        <v>19</v>
      </c>
      <c r="P199" s="79">
        <v>3</v>
      </c>
    </row>
    <row r="200" spans="1:16" ht="12.75">
      <c r="A200" s="83">
        <v>38115</v>
      </c>
      <c r="B200" s="80">
        <v>0.875</v>
      </c>
      <c r="C200" s="78">
        <v>21</v>
      </c>
      <c r="D200" s="79">
        <v>0</v>
      </c>
      <c r="G200" s="83">
        <v>38115</v>
      </c>
      <c r="H200" s="80">
        <v>0.875</v>
      </c>
      <c r="I200" s="78">
        <v>17</v>
      </c>
      <c r="J200" s="79">
        <v>0</v>
      </c>
      <c r="M200" s="83">
        <v>38115</v>
      </c>
      <c r="N200" s="80">
        <v>0.875</v>
      </c>
      <c r="O200" s="78">
        <v>17</v>
      </c>
      <c r="P200" s="79">
        <v>3</v>
      </c>
    </row>
    <row r="201" spans="1:16" ht="12.75">
      <c r="A201" s="83">
        <v>38115</v>
      </c>
      <c r="B201" s="80">
        <v>0.9166666666666666</v>
      </c>
      <c r="C201" s="78">
        <v>19</v>
      </c>
      <c r="D201" s="79">
        <v>0</v>
      </c>
      <c r="G201" s="83">
        <v>38115</v>
      </c>
      <c r="H201" s="80">
        <v>0.9166666666666666</v>
      </c>
      <c r="I201" s="78">
        <v>21</v>
      </c>
      <c r="J201" s="79">
        <v>0</v>
      </c>
      <c r="M201" s="83">
        <v>38115</v>
      </c>
      <c r="N201" s="80">
        <v>0.9166666666666666</v>
      </c>
      <c r="O201" s="78">
        <v>17</v>
      </c>
      <c r="P201" s="79">
        <v>3</v>
      </c>
    </row>
    <row r="202" spans="1:16" ht="12.75">
      <c r="A202" s="83">
        <v>38115</v>
      </c>
      <c r="B202" s="80">
        <v>0.9583333333333334</v>
      </c>
      <c r="C202" s="78">
        <v>19</v>
      </c>
      <c r="D202" s="79">
        <v>0</v>
      </c>
      <c r="G202" s="83">
        <v>38115</v>
      </c>
      <c r="H202" s="80">
        <v>0.9583333333333334</v>
      </c>
      <c r="I202" s="78">
        <v>23</v>
      </c>
      <c r="J202" s="79">
        <v>0</v>
      </c>
      <c r="M202" s="83">
        <v>38115</v>
      </c>
      <c r="N202" s="80">
        <v>0.9583333333333334</v>
      </c>
      <c r="O202" s="78">
        <v>11</v>
      </c>
      <c r="P202" s="79">
        <v>3</v>
      </c>
    </row>
    <row r="203" spans="1:16" ht="12.75">
      <c r="A203" s="83">
        <v>38115</v>
      </c>
      <c r="B203" s="81">
        <v>1</v>
      </c>
      <c r="C203" s="78">
        <v>17</v>
      </c>
      <c r="D203" s="79">
        <v>0</v>
      </c>
      <c r="G203" s="83">
        <v>38115</v>
      </c>
      <c r="H203" s="81">
        <v>1</v>
      </c>
      <c r="I203" s="78">
        <v>27</v>
      </c>
      <c r="J203" s="79">
        <v>0</v>
      </c>
      <c r="M203" s="83">
        <v>38115</v>
      </c>
      <c r="N203" s="81">
        <v>1</v>
      </c>
      <c r="O203" s="78">
        <v>10</v>
      </c>
      <c r="P203" s="79">
        <v>3</v>
      </c>
    </row>
    <row r="204" spans="1:16" s="92" customFormat="1" ht="12.75">
      <c r="A204" s="90">
        <v>38116</v>
      </c>
      <c r="B204" s="91">
        <v>0.041666666666666664</v>
      </c>
      <c r="C204" s="92">
        <v>15</v>
      </c>
      <c r="D204" s="92">
        <v>5</v>
      </c>
      <c r="G204" s="90">
        <v>38116</v>
      </c>
      <c r="H204" s="91">
        <v>0.041666666666666664</v>
      </c>
      <c r="I204" s="92">
        <v>31</v>
      </c>
      <c r="J204" s="92">
        <v>0</v>
      </c>
      <c r="M204" s="90">
        <v>38116</v>
      </c>
      <c r="N204" s="91">
        <v>0.041666666666666664</v>
      </c>
      <c r="O204" s="92">
        <v>10</v>
      </c>
      <c r="P204" s="92">
        <v>3</v>
      </c>
    </row>
    <row r="205" spans="1:16" ht="12.75">
      <c r="A205" s="83">
        <v>38116</v>
      </c>
      <c r="B205" s="80">
        <v>0.08333333333333333</v>
      </c>
      <c r="C205" s="78">
        <v>21</v>
      </c>
      <c r="D205" s="79">
        <v>5</v>
      </c>
      <c r="G205" s="83">
        <v>38116</v>
      </c>
      <c r="H205" s="80">
        <v>0.08333333333333333</v>
      </c>
      <c r="I205" s="78">
        <v>40</v>
      </c>
      <c r="J205" s="79">
        <v>0</v>
      </c>
      <c r="M205" s="83">
        <v>38116</v>
      </c>
      <c r="N205" s="80">
        <v>0.08333333333333333</v>
      </c>
      <c r="O205" s="78">
        <v>11</v>
      </c>
      <c r="P205" s="79">
        <v>3</v>
      </c>
    </row>
    <row r="206" spans="1:16" ht="12.75">
      <c r="A206" s="83">
        <v>38116</v>
      </c>
      <c r="B206" s="80">
        <v>0.125</v>
      </c>
      <c r="C206" s="78">
        <v>17</v>
      </c>
      <c r="D206" s="79">
        <v>5</v>
      </c>
      <c r="G206" s="83">
        <v>38116</v>
      </c>
      <c r="H206" s="80">
        <v>0.125</v>
      </c>
      <c r="I206" s="78">
        <v>46</v>
      </c>
      <c r="J206" s="79">
        <v>0</v>
      </c>
      <c r="M206" s="83">
        <v>38116</v>
      </c>
      <c r="N206" s="80">
        <v>0.125</v>
      </c>
      <c r="O206" s="78">
        <v>8</v>
      </c>
      <c r="P206" s="79">
        <v>3</v>
      </c>
    </row>
    <row r="207" spans="1:16" ht="12.75">
      <c r="A207" s="83">
        <v>38116</v>
      </c>
      <c r="B207" s="80">
        <v>0.16666666666666666</v>
      </c>
      <c r="C207" s="78">
        <v>13</v>
      </c>
      <c r="D207" s="79">
        <v>5</v>
      </c>
      <c r="G207" s="83">
        <v>38116</v>
      </c>
      <c r="H207" s="80">
        <v>0.16666666666666666</v>
      </c>
      <c r="I207" s="78">
        <v>27</v>
      </c>
      <c r="J207" s="79">
        <v>0</v>
      </c>
      <c r="M207" s="83">
        <v>38116</v>
      </c>
      <c r="N207" s="80">
        <v>0.16666666666666666</v>
      </c>
      <c r="O207" s="78">
        <v>6</v>
      </c>
      <c r="P207" s="79">
        <v>3</v>
      </c>
    </row>
    <row r="208" spans="1:16" ht="12.75">
      <c r="A208" s="83">
        <v>38116</v>
      </c>
      <c r="B208" s="80">
        <v>0.20833333333333334</v>
      </c>
      <c r="C208" s="78">
        <v>8</v>
      </c>
      <c r="D208" s="79">
        <v>5</v>
      </c>
      <c r="G208" s="83">
        <v>38116</v>
      </c>
      <c r="H208" s="80">
        <v>0.20833333333333334</v>
      </c>
      <c r="I208" s="78">
        <v>29</v>
      </c>
      <c r="J208" s="79">
        <v>0</v>
      </c>
      <c r="M208" s="83">
        <v>38116</v>
      </c>
      <c r="N208" s="80">
        <v>0.20833333333333334</v>
      </c>
      <c r="O208" s="78">
        <v>8</v>
      </c>
      <c r="P208" s="79">
        <v>3</v>
      </c>
    </row>
    <row r="209" spans="1:16" ht="12.75">
      <c r="A209" s="83">
        <v>38116</v>
      </c>
      <c r="B209" s="80">
        <v>0.25</v>
      </c>
      <c r="C209" s="78">
        <v>10</v>
      </c>
      <c r="D209" s="79">
        <v>5</v>
      </c>
      <c r="G209" s="83">
        <v>38116</v>
      </c>
      <c r="H209" s="80">
        <v>0.25</v>
      </c>
      <c r="I209" s="78">
        <v>31</v>
      </c>
      <c r="J209" s="79">
        <v>0</v>
      </c>
      <c r="M209" s="83">
        <v>38116</v>
      </c>
      <c r="N209" s="80">
        <v>0.25</v>
      </c>
      <c r="O209" s="78">
        <v>17</v>
      </c>
      <c r="P209" s="79">
        <v>3</v>
      </c>
    </row>
    <row r="210" spans="1:16" ht="12.75">
      <c r="A210" s="83">
        <v>38116</v>
      </c>
      <c r="B210" s="80">
        <v>0.2916666666666667</v>
      </c>
      <c r="C210" s="78">
        <v>19</v>
      </c>
      <c r="D210" s="79">
        <v>5</v>
      </c>
      <c r="G210" s="83">
        <v>38116</v>
      </c>
      <c r="H210" s="80">
        <v>0.2916666666666667</v>
      </c>
      <c r="I210" s="78">
        <v>15</v>
      </c>
      <c r="J210" s="79">
        <v>0</v>
      </c>
      <c r="M210" s="83">
        <v>38116</v>
      </c>
      <c r="N210" s="80">
        <v>0.2916666666666667</v>
      </c>
      <c r="O210" s="78">
        <v>21</v>
      </c>
      <c r="P210" s="79">
        <v>3</v>
      </c>
    </row>
    <row r="211" spans="1:16" ht="12.75">
      <c r="A211" s="83">
        <v>38116</v>
      </c>
      <c r="B211" s="80">
        <v>0.3333333333333333</v>
      </c>
      <c r="C211" s="78">
        <v>23</v>
      </c>
      <c r="D211" s="79">
        <v>5</v>
      </c>
      <c r="G211" s="83">
        <v>38116</v>
      </c>
      <c r="H211" s="80">
        <v>0.3333333333333333</v>
      </c>
      <c r="I211" s="78">
        <v>13</v>
      </c>
      <c r="J211" s="79">
        <v>0</v>
      </c>
      <c r="M211" s="83">
        <v>38116</v>
      </c>
      <c r="N211" s="80">
        <v>0.3333333333333333</v>
      </c>
      <c r="O211" s="78">
        <v>17</v>
      </c>
      <c r="P211" s="79">
        <v>3</v>
      </c>
    </row>
    <row r="212" spans="1:16" ht="12.75">
      <c r="A212" s="83">
        <v>38116</v>
      </c>
      <c r="B212" s="80">
        <v>0.375</v>
      </c>
      <c r="C212" s="78">
        <v>38</v>
      </c>
      <c r="D212" s="79">
        <v>8</v>
      </c>
      <c r="G212" s="83">
        <v>38116</v>
      </c>
      <c r="H212" s="80">
        <v>0.375</v>
      </c>
      <c r="I212" s="78">
        <v>15</v>
      </c>
      <c r="J212" s="79">
        <v>0</v>
      </c>
      <c r="M212" s="83">
        <v>38116</v>
      </c>
      <c r="N212" s="80">
        <v>0.375</v>
      </c>
      <c r="O212" s="78">
        <v>15</v>
      </c>
      <c r="P212" s="79">
        <v>3</v>
      </c>
    </row>
    <row r="213" spans="1:16" ht="12.75">
      <c r="A213" s="83">
        <v>38116</v>
      </c>
      <c r="B213" s="80">
        <v>0.4166666666666667</v>
      </c>
      <c r="C213" s="78">
        <v>32</v>
      </c>
      <c r="D213" s="79">
        <v>5</v>
      </c>
      <c r="G213" s="83">
        <v>38116</v>
      </c>
      <c r="H213" s="80">
        <v>0.4166666666666667</v>
      </c>
      <c r="I213" s="78">
        <v>13</v>
      </c>
      <c r="J213" s="79">
        <v>0</v>
      </c>
      <c r="M213" s="83">
        <v>38116</v>
      </c>
      <c r="N213" s="80">
        <v>0.4166666666666667</v>
      </c>
      <c r="O213" s="78">
        <v>10</v>
      </c>
      <c r="P213" s="79">
        <v>3</v>
      </c>
    </row>
    <row r="214" spans="1:16" ht="12.75">
      <c r="A214" s="83">
        <v>38116</v>
      </c>
      <c r="B214" s="80">
        <v>0.4583333333333333</v>
      </c>
      <c r="C214" s="78">
        <v>19</v>
      </c>
      <c r="D214" s="79">
        <v>5</v>
      </c>
      <c r="G214" s="83">
        <v>38116</v>
      </c>
      <c r="H214" s="80">
        <v>0.4583333333333333</v>
      </c>
      <c r="I214" s="78">
        <v>17</v>
      </c>
      <c r="J214" s="79">
        <v>8</v>
      </c>
      <c r="M214" s="83">
        <v>38116</v>
      </c>
      <c r="N214" s="80">
        <v>0.4583333333333333</v>
      </c>
      <c r="O214" s="78">
        <v>8</v>
      </c>
      <c r="P214" s="79">
        <v>3</v>
      </c>
    </row>
    <row r="215" spans="1:16" ht="12.75">
      <c r="A215" s="83">
        <v>38116</v>
      </c>
      <c r="B215" s="80">
        <v>0.5</v>
      </c>
      <c r="C215" s="78">
        <v>13</v>
      </c>
      <c r="D215" s="79">
        <v>5</v>
      </c>
      <c r="G215" s="83">
        <v>38116</v>
      </c>
      <c r="H215" s="80">
        <v>0.5</v>
      </c>
      <c r="I215" s="78">
        <v>23</v>
      </c>
      <c r="J215" s="79">
        <v>32</v>
      </c>
      <c r="M215" s="83">
        <v>38116</v>
      </c>
      <c r="N215" s="80">
        <v>0.5</v>
      </c>
      <c r="O215" s="78">
        <v>8</v>
      </c>
      <c r="P215" s="79">
        <v>3</v>
      </c>
    </row>
    <row r="216" spans="1:16" ht="12.75">
      <c r="A216" s="83">
        <v>38116</v>
      </c>
      <c r="B216" s="80">
        <v>0.5416666666666666</v>
      </c>
      <c r="C216" s="78">
        <v>15</v>
      </c>
      <c r="D216" s="79">
        <v>5</v>
      </c>
      <c r="G216" s="83">
        <v>38116</v>
      </c>
      <c r="H216" s="80">
        <v>0.5416666666666666</v>
      </c>
      <c r="I216" s="78">
        <v>19</v>
      </c>
      <c r="J216" s="79">
        <v>19</v>
      </c>
      <c r="M216" s="83">
        <v>38116</v>
      </c>
      <c r="N216" s="80">
        <v>0.5416666666666666</v>
      </c>
      <c r="O216" s="78">
        <v>10</v>
      </c>
      <c r="P216" s="79">
        <v>3</v>
      </c>
    </row>
    <row r="217" spans="1:16" ht="12.75">
      <c r="A217" s="83">
        <v>38116</v>
      </c>
      <c r="B217" s="80">
        <v>0.5833333333333334</v>
      </c>
      <c r="C217" s="78">
        <v>23</v>
      </c>
      <c r="D217" s="79">
        <v>5</v>
      </c>
      <c r="G217" s="83">
        <v>38116</v>
      </c>
      <c r="H217" s="80">
        <v>0.5833333333333334</v>
      </c>
      <c r="I217" s="78">
        <v>29</v>
      </c>
      <c r="J217" s="79">
        <v>72</v>
      </c>
      <c r="M217" s="83">
        <v>38116</v>
      </c>
      <c r="N217" s="80">
        <v>0.5833333333333334</v>
      </c>
      <c r="O217" s="78">
        <v>10</v>
      </c>
      <c r="P217" s="79">
        <v>3</v>
      </c>
    </row>
    <row r="218" spans="1:16" ht="12.75">
      <c r="A218" s="83">
        <v>38116</v>
      </c>
      <c r="B218" s="80">
        <v>0.625</v>
      </c>
      <c r="C218" s="78">
        <v>23</v>
      </c>
      <c r="D218" s="79">
        <v>5</v>
      </c>
      <c r="G218" s="83">
        <v>38116</v>
      </c>
      <c r="H218" s="80">
        <v>0.625</v>
      </c>
      <c r="I218" s="78">
        <v>17</v>
      </c>
      <c r="J218" s="79">
        <v>5</v>
      </c>
      <c r="M218" s="83">
        <v>38116</v>
      </c>
      <c r="N218" s="80">
        <v>0.625</v>
      </c>
      <c r="O218" s="78">
        <v>10</v>
      </c>
      <c r="P218" s="79">
        <v>3</v>
      </c>
    </row>
    <row r="219" spans="1:16" ht="12.75">
      <c r="A219" s="83">
        <v>38116</v>
      </c>
      <c r="B219" s="80">
        <v>0.6666666666666666</v>
      </c>
      <c r="C219" s="78">
        <v>19</v>
      </c>
      <c r="D219" s="79">
        <v>5</v>
      </c>
      <c r="G219" s="83">
        <v>38116</v>
      </c>
      <c r="H219" s="80">
        <v>0.6666666666666666</v>
      </c>
      <c r="I219" s="78">
        <v>15</v>
      </c>
      <c r="J219" s="79">
        <v>8</v>
      </c>
      <c r="M219" s="83">
        <v>38116</v>
      </c>
      <c r="N219" s="80">
        <v>0.6666666666666666</v>
      </c>
      <c r="O219" s="78">
        <v>15</v>
      </c>
      <c r="P219" s="79">
        <v>3</v>
      </c>
    </row>
    <row r="220" spans="1:16" ht="12.75">
      <c r="A220" s="83">
        <v>38116</v>
      </c>
      <c r="B220" s="80">
        <v>0.7083333333333334</v>
      </c>
      <c r="C220" s="78">
        <v>21</v>
      </c>
      <c r="D220" s="79">
        <v>8</v>
      </c>
      <c r="G220" s="83">
        <v>38116</v>
      </c>
      <c r="H220" s="80">
        <v>0.7083333333333334</v>
      </c>
      <c r="I220" s="78">
        <v>19</v>
      </c>
      <c r="J220" s="79">
        <v>13</v>
      </c>
      <c r="M220" s="83">
        <v>38116</v>
      </c>
      <c r="N220" s="80">
        <v>0.7083333333333334</v>
      </c>
      <c r="O220" s="78">
        <v>15</v>
      </c>
      <c r="P220" s="79">
        <v>3</v>
      </c>
    </row>
    <row r="221" spans="1:16" ht="12.75">
      <c r="A221" s="83">
        <v>38116</v>
      </c>
      <c r="B221" s="80">
        <v>0.75</v>
      </c>
      <c r="C221" s="78">
        <v>21</v>
      </c>
      <c r="D221" s="79">
        <v>5</v>
      </c>
      <c r="G221" s="83">
        <v>38116</v>
      </c>
      <c r="H221" s="80">
        <v>0.75</v>
      </c>
      <c r="I221" s="78">
        <v>27</v>
      </c>
      <c r="J221" s="79">
        <v>16</v>
      </c>
      <c r="M221" s="83">
        <v>38116</v>
      </c>
      <c r="N221" s="80">
        <v>0.75</v>
      </c>
      <c r="O221" s="78">
        <v>13</v>
      </c>
      <c r="P221" s="79">
        <v>3</v>
      </c>
    </row>
    <row r="222" spans="1:16" ht="12.75">
      <c r="A222" s="83">
        <v>38116</v>
      </c>
      <c r="B222" s="80">
        <v>0.7916666666666666</v>
      </c>
      <c r="C222" s="78">
        <v>27</v>
      </c>
      <c r="D222" s="79">
        <v>5</v>
      </c>
      <c r="G222" s="83">
        <v>38116</v>
      </c>
      <c r="H222" s="80">
        <v>0.7916666666666666</v>
      </c>
      <c r="I222" s="78">
        <v>27</v>
      </c>
      <c r="J222" s="79">
        <v>5</v>
      </c>
      <c r="M222" s="83">
        <v>38116</v>
      </c>
      <c r="N222" s="80">
        <v>0.7916666666666666</v>
      </c>
      <c r="O222" s="78">
        <v>19</v>
      </c>
      <c r="P222" s="79">
        <v>5</v>
      </c>
    </row>
    <row r="223" spans="1:16" ht="12.75">
      <c r="A223" s="83">
        <v>38116</v>
      </c>
      <c r="B223" s="80">
        <v>0.8333333333333334</v>
      </c>
      <c r="C223" s="78">
        <v>29</v>
      </c>
      <c r="D223" s="79">
        <v>5</v>
      </c>
      <c r="G223" s="83">
        <v>38116</v>
      </c>
      <c r="H223" s="80">
        <v>0.8333333333333334</v>
      </c>
      <c r="I223" s="78">
        <v>36</v>
      </c>
      <c r="J223" s="79">
        <v>8</v>
      </c>
      <c r="M223" s="83">
        <v>38116</v>
      </c>
      <c r="N223" s="80">
        <v>0.8333333333333334</v>
      </c>
      <c r="O223" s="78">
        <v>25</v>
      </c>
      <c r="P223" s="79">
        <v>5</v>
      </c>
    </row>
    <row r="224" spans="1:16" ht="12.75">
      <c r="A224" s="83">
        <v>38116</v>
      </c>
      <c r="B224" s="80">
        <v>0.875</v>
      </c>
      <c r="C224" s="78">
        <v>36</v>
      </c>
      <c r="D224" s="79">
        <v>5</v>
      </c>
      <c r="G224" s="83">
        <v>38116</v>
      </c>
      <c r="H224" s="80">
        <v>0.875</v>
      </c>
      <c r="I224" s="78">
        <v>57</v>
      </c>
      <c r="J224" s="79">
        <v>11</v>
      </c>
      <c r="M224" s="83">
        <v>38116</v>
      </c>
      <c r="N224" s="80">
        <v>0.875</v>
      </c>
      <c r="O224" s="78">
        <v>21</v>
      </c>
      <c r="P224" s="79">
        <v>5</v>
      </c>
    </row>
    <row r="225" spans="1:16" ht="12.75">
      <c r="A225" s="83">
        <v>38116</v>
      </c>
      <c r="B225" s="80">
        <v>0.9166666666666666</v>
      </c>
      <c r="C225" s="78">
        <v>44</v>
      </c>
      <c r="D225" s="79">
        <v>5</v>
      </c>
      <c r="G225" s="83">
        <v>38116</v>
      </c>
      <c r="H225" s="80">
        <v>0.9166666666666666</v>
      </c>
      <c r="I225" s="78">
        <v>84</v>
      </c>
      <c r="J225" s="79">
        <v>11</v>
      </c>
      <c r="M225" s="83">
        <v>38116</v>
      </c>
      <c r="N225" s="80">
        <v>0.9166666666666666</v>
      </c>
      <c r="O225" s="78">
        <v>15</v>
      </c>
      <c r="P225" s="79">
        <v>3</v>
      </c>
    </row>
    <row r="226" spans="1:16" ht="12.75">
      <c r="A226" s="83">
        <v>38116</v>
      </c>
      <c r="B226" s="80">
        <v>0.9583333333333334</v>
      </c>
      <c r="C226" s="78">
        <v>46</v>
      </c>
      <c r="D226" s="79">
        <v>5</v>
      </c>
      <c r="G226" s="83">
        <v>38116</v>
      </c>
      <c r="H226" s="80">
        <v>0.9583333333333334</v>
      </c>
      <c r="I226" s="78">
        <v>82</v>
      </c>
      <c r="J226" s="79">
        <v>8</v>
      </c>
      <c r="M226" s="83">
        <v>38116</v>
      </c>
      <c r="N226" s="80">
        <v>0.9583333333333334</v>
      </c>
      <c r="O226" s="78">
        <v>15</v>
      </c>
      <c r="P226" s="79">
        <v>3</v>
      </c>
    </row>
    <row r="227" spans="1:16" ht="12.75">
      <c r="A227" s="83">
        <v>38116</v>
      </c>
      <c r="B227" s="81">
        <v>1</v>
      </c>
      <c r="C227" s="78">
        <v>40</v>
      </c>
      <c r="D227" s="79">
        <v>5</v>
      </c>
      <c r="G227" s="83">
        <v>38116</v>
      </c>
      <c r="H227" s="81">
        <v>1</v>
      </c>
      <c r="I227" s="78">
        <v>69</v>
      </c>
      <c r="J227" s="79">
        <v>8</v>
      </c>
      <c r="M227" s="83">
        <v>38116</v>
      </c>
      <c r="N227" s="81">
        <v>1</v>
      </c>
      <c r="O227" s="78">
        <v>13</v>
      </c>
      <c r="P227" s="79">
        <v>5</v>
      </c>
    </row>
    <row r="228" spans="1:16" s="92" customFormat="1" ht="12.75">
      <c r="A228" s="90">
        <v>38117</v>
      </c>
      <c r="B228" s="91">
        <v>0.041666666666666664</v>
      </c>
      <c r="C228" s="92">
        <v>40</v>
      </c>
      <c r="D228" s="92">
        <v>11</v>
      </c>
      <c r="G228" s="90">
        <v>38117</v>
      </c>
      <c r="H228" s="91">
        <v>0.041666666666666664</v>
      </c>
      <c r="I228" s="92">
        <v>55</v>
      </c>
      <c r="J228" s="92">
        <v>8</v>
      </c>
      <c r="M228" s="90">
        <v>38117</v>
      </c>
      <c r="N228" s="91">
        <v>0.041666666666666664</v>
      </c>
      <c r="O228" s="92">
        <v>11</v>
      </c>
      <c r="P228" s="92">
        <v>3</v>
      </c>
    </row>
    <row r="229" spans="1:16" ht="12.75">
      <c r="A229" s="83">
        <v>38117</v>
      </c>
      <c r="B229" s="80">
        <v>0.08333333333333333</v>
      </c>
      <c r="C229" s="78">
        <v>36</v>
      </c>
      <c r="D229" s="79">
        <v>0</v>
      </c>
      <c r="G229" s="83">
        <v>38117</v>
      </c>
      <c r="H229" s="80">
        <v>0.08333333333333333</v>
      </c>
      <c r="I229" s="78">
        <v>50</v>
      </c>
      <c r="J229" s="79">
        <v>8</v>
      </c>
      <c r="M229" s="83">
        <v>38117</v>
      </c>
      <c r="N229" s="80">
        <v>0.08333333333333333</v>
      </c>
      <c r="O229" s="78">
        <v>23</v>
      </c>
      <c r="P229" s="79">
        <v>0</v>
      </c>
    </row>
    <row r="230" spans="1:16" ht="12.75">
      <c r="A230" s="83">
        <v>38117</v>
      </c>
      <c r="B230" s="80">
        <v>0.125</v>
      </c>
      <c r="C230" s="78">
        <v>32</v>
      </c>
      <c r="D230" s="79">
        <v>11</v>
      </c>
      <c r="G230" s="83">
        <v>38117</v>
      </c>
      <c r="H230" s="80">
        <v>0.125</v>
      </c>
      <c r="I230" s="78">
        <v>32</v>
      </c>
      <c r="J230" s="79">
        <v>11</v>
      </c>
      <c r="M230" s="83">
        <v>38117</v>
      </c>
      <c r="N230" s="80">
        <v>0.125</v>
      </c>
      <c r="O230" s="78">
        <v>19</v>
      </c>
      <c r="P230" s="79">
        <v>0</v>
      </c>
    </row>
    <row r="231" spans="1:16" ht="12.75">
      <c r="A231" s="83">
        <v>38117</v>
      </c>
      <c r="B231" s="80">
        <v>0.16666666666666666</v>
      </c>
      <c r="C231" s="78">
        <v>31</v>
      </c>
      <c r="D231" s="79">
        <v>11</v>
      </c>
      <c r="G231" s="83">
        <v>38117</v>
      </c>
      <c r="H231" s="80">
        <v>0.16666666666666666</v>
      </c>
      <c r="I231" s="78">
        <v>40</v>
      </c>
      <c r="J231" s="79">
        <v>19</v>
      </c>
      <c r="M231" s="83">
        <v>38117</v>
      </c>
      <c r="N231" s="80">
        <v>0.16666666666666666</v>
      </c>
      <c r="O231" s="78">
        <v>15</v>
      </c>
      <c r="P231" s="79">
        <v>3</v>
      </c>
    </row>
    <row r="232" spans="1:16" ht="12.75">
      <c r="A232" s="83">
        <v>38117</v>
      </c>
      <c r="B232" s="80">
        <v>0.20833333333333334</v>
      </c>
      <c r="C232" s="78">
        <v>29</v>
      </c>
      <c r="D232" s="79">
        <v>11</v>
      </c>
      <c r="G232" s="83">
        <v>38117</v>
      </c>
      <c r="H232" s="80">
        <v>0.20833333333333334</v>
      </c>
      <c r="I232" s="78">
        <v>52</v>
      </c>
      <c r="J232" s="79">
        <v>13</v>
      </c>
      <c r="M232" s="83">
        <v>38117</v>
      </c>
      <c r="N232" s="80">
        <v>0.20833333333333334</v>
      </c>
      <c r="O232" s="78">
        <v>15</v>
      </c>
      <c r="P232" s="79">
        <v>3</v>
      </c>
    </row>
    <row r="233" spans="1:16" ht="12.75">
      <c r="A233" s="83">
        <v>38117</v>
      </c>
      <c r="B233" s="80">
        <v>0.25</v>
      </c>
      <c r="C233" s="78">
        <v>32</v>
      </c>
      <c r="D233" s="79">
        <v>11</v>
      </c>
      <c r="G233" s="83">
        <v>38117</v>
      </c>
      <c r="H233" s="80">
        <v>0.25</v>
      </c>
      <c r="I233" s="78">
        <v>57</v>
      </c>
      <c r="J233" s="79">
        <v>13</v>
      </c>
      <c r="M233" s="83">
        <v>38117</v>
      </c>
      <c r="N233" s="80">
        <v>0.25</v>
      </c>
      <c r="O233" s="78">
        <v>17</v>
      </c>
      <c r="P233" s="79">
        <v>3</v>
      </c>
    </row>
    <row r="234" spans="1:16" ht="12.75">
      <c r="A234" s="83">
        <v>38117</v>
      </c>
      <c r="B234" s="80">
        <v>0.2916666666666667</v>
      </c>
      <c r="C234" s="78">
        <v>40</v>
      </c>
      <c r="D234" s="79">
        <v>13</v>
      </c>
      <c r="G234" s="83">
        <v>38117</v>
      </c>
      <c r="H234" s="80">
        <v>0.2916666666666667</v>
      </c>
      <c r="I234" s="78">
        <v>65</v>
      </c>
      <c r="J234" s="79">
        <v>19</v>
      </c>
      <c r="M234" s="83">
        <v>38117</v>
      </c>
      <c r="N234" s="80">
        <v>0.2916666666666667</v>
      </c>
      <c r="O234" s="78">
        <v>23</v>
      </c>
      <c r="P234" s="79">
        <v>3</v>
      </c>
    </row>
    <row r="235" spans="1:16" ht="12.75">
      <c r="A235" s="83">
        <v>38117</v>
      </c>
      <c r="B235" s="80">
        <v>0.3333333333333333</v>
      </c>
      <c r="C235" s="78">
        <v>44</v>
      </c>
      <c r="D235" s="79">
        <v>13</v>
      </c>
      <c r="G235" s="83">
        <v>38117</v>
      </c>
      <c r="H235" s="80">
        <v>0.3333333333333333</v>
      </c>
      <c r="I235" s="78">
        <v>69</v>
      </c>
      <c r="J235" s="79">
        <v>35</v>
      </c>
      <c r="M235" s="83">
        <v>38117</v>
      </c>
      <c r="N235" s="80">
        <v>0.3333333333333333</v>
      </c>
      <c r="O235" s="78">
        <v>29</v>
      </c>
      <c r="P235" s="79">
        <v>3</v>
      </c>
    </row>
    <row r="236" spans="1:16" ht="12.75">
      <c r="A236" s="83">
        <v>38117</v>
      </c>
      <c r="B236" s="80">
        <v>0.375</v>
      </c>
      <c r="C236" s="78">
        <v>55</v>
      </c>
      <c r="D236" s="79">
        <v>13</v>
      </c>
      <c r="G236" s="83">
        <v>38117</v>
      </c>
      <c r="H236" s="80">
        <v>0.375</v>
      </c>
      <c r="J236" s="79">
        <v>19</v>
      </c>
      <c r="M236" s="83">
        <v>38117</v>
      </c>
      <c r="N236" s="80">
        <v>0.375</v>
      </c>
      <c r="O236" s="78">
        <v>21</v>
      </c>
      <c r="P236" s="79">
        <v>5</v>
      </c>
    </row>
    <row r="237" spans="1:16" ht="12.75">
      <c r="A237" s="83">
        <v>38117</v>
      </c>
      <c r="B237" s="80">
        <v>0.4166666666666667</v>
      </c>
      <c r="C237" s="78">
        <v>40</v>
      </c>
      <c r="D237" s="79">
        <v>11</v>
      </c>
      <c r="G237" s="83">
        <v>38117</v>
      </c>
      <c r="H237" s="80">
        <v>0.4166666666666667</v>
      </c>
      <c r="I237" s="78">
        <v>38</v>
      </c>
      <c r="J237" s="79">
        <v>5</v>
      </c>
      <c r="M237" s="83">
        <v>38117</v>
      </c>
      <c r="N237" s="80">
        <v>0.4166666666666667</v>
      </c>
      <c r="P237" s="79">
        <v>8</v>
      </c>
    </row>
    <row r="238" spans="1:16" ht="12.75">
      <c r="A238" s="83">
        <v>38117</v>
      </c>
      <c r="B238" s="80">
        <v>0.4583333333333333</v>
      </c>
      <c r="C238" s="78">
        <v>27</v>
      </c>
      <c r="D238" s="79">
        <v>11</v>
      </c>
      <c r="G238" s="83">
        <v>38117</v>
      </c>
      <c r="H238" s="80">
        <v>0.4583333333333333</v>
      </c>
      <c r="I238" s="78">
        <v>23</v>
      </c>
      <c r="J238" s="79">
        <v>3</v>
      </c>
      <c r="M238" s="83">
        <v>38117</v>
      </c>
      <c r="N238" s="80">
        <v>0.4583333333333333</v>
      </c>
      <c r="O238" s="78">
        <v>17</v>
      </c>
      <c r="P238" s="79">
        <v>8</v>
      </c>
    </row>
    <row r="239" spans="1:16" ht="12.75">
      <c r="A239" s="83">
        <v>38117</v>
      </c>
      <c r="B239" s="80">
        <v>0.5</v>
      </c>
      <c r="C239" s="78">
        <v>34</v>
      </c>
      <c r="D239" s="79">
        <v>13</v>
      </c>
      <c r="G239" s="83">
        <v>38117</v>
      </c>
      <c r="H239" s="80">
        <v>0.5</v>
      </c>
      <c r="I239" s="78">
        <v>19</v>
      </c>
      <c r="J239" s="79">
        <v>0</v>
      </c>
      <c r="M239" s="83">
        <v>38117</v>
      </c>
      <c r="N239" s="80">
        <v>0.5</v>
      </c>
      <c r="O239" s="78">
        <v>13</v>
      </c>
      <c r="P239" s="79">
        <v>5</v>
      </c>
    </row>
    <row r="240" spans="1:16" ht="12.75">
      <c r="A240" s="83">
        <v>38117</v>
      </c>
      <c r="B240" s="80">
        <v>0.5416666666666666</v>
      </c>
      <c r="C240" s="78">
        <v>31</v>
      </c>
      <c r="D240" s="79">
        <v>11</v>
      </c>
      <c r="G240" s="83">
        <v>38117</v>
      </c>
      <c r="H240" s="80">
        <v>0.5416666666666666</v>
      </c>
      <c r="I240" s="78">
        <v>29</v>
      </c>
      <c r="J240" s="79">
        <v>43</v>
      </c>
      <c r="M240" s="83">
        <v>38117</v>
      </c>
      <c r="N240" s="80">
        <v>0.5416666666666666</v>
      </c>
      <c r="O240" s="78">
        <v>13</v>
      </c>
      <c r="P240" s="79">
        <v>3</v>
      </c>
    </row>
    <row r="241" spans="1:16" ht="12.75">
      <c r="A241" s="83">
        <v>38117</v>
      </c>
      <c r="B241" s="80">
        <v>0.5833333333333334</v>
      </c>
      <c r="C241" s="78">
        <v>38</v>
      </c>
      <c r="D241" s="79">
        <v>11</v>
      </c>
      <c r="G241" s="83">
        <v>38117</v>
      </c>
      <c r="H241" s="80">
        <v>0.5833333333333334</v>
      </c>
      <c r="I241" s="78">
        <v>31</v>
      </c>
      <c r="J241" s="79">
        <v>45</v>
      </c>
      <c r="M241" s="83">
        <v>38117</v>
      </c>
      <c r="N241" s="80">
        <v>0.5833333333333334</v>
      </c>
      <c r="O241" s="78">
        <v>11</v>
      </c>
      <c r="P241" s="79">
        <v>3</v>
      </c>
    </row>
    <row r="242" spans="1:16" ht="12.75">
      <c r="A242" s="83">
        <v>38117</v>
      </c>
      <c r="B242" s="80">
        <v>0.625</v>
      </c>
      <c r="C242" s="78">
        <v>40</v>
      </c>
      <c r="D242" s="79">
        <v>11</v>
      </c>
      <c r="G242" s="83">
        <v>38117</v>
      </c>
      <c r="H242" s="80">
        <v>0.625</v>
      </c>
      <c r="I242" s="78">
        <v>29</v>
      </c>
      <c r="J242" s="79">
        <v>11</v>
      </c>
      <c r="M242" s="83">
        <v>38117</v>
      </c>
      <c r="N242" s="80">
        <v>0.625</v>
      </c>
      <c r="O242" s="78">
        <v>11</v>
      </c>
      <c r="P242" s="79">
        <v>3</v>
      </c>
    </row>
    <row r="243" spans="1:16" ht="12.75">
      <c r="A243" s="83">
        <v>38117</v>
      </c>
      <c r="B243" s="80">
        <v>0.6666666666666666</v>
      </c>
      <c r="C243" s="78">
        <v>32</v>
      </c>
      <c r="D243" s="79">
        <v>11</v>
      </c>
      <c r="G243" s="83">
        <v>38117</v>
      </c>
      <c r="H243" s="80">
        <v>0.6666666666666666</v>
      </c>
      <c r="I243" s="78">
        <v>31</v>
      </c>
      <c r="J243" s="79">
        <v>13</v>
      </c>
      <c r="M243" s="83">
        <v>38117</v>
      </c>
      <c r="N243" s="80">
        <v>0.6666666666666666</v>
      </c>
      <c r="O243" s="78">
        <v>11</v>
      </c>
      <c r="P243" s="79">
        <v>3</v>
      </c>
    </row>
    <row r="244" spans="1:16" ht="12.75">
      <c r="A244" s="83">
        <v>38117</v>
      </c>
      <c r="B244" s="80">
        <v>0.7083333333333334</v>
      </c>
      <c r="C244" s="78">
        <v>31</v>
      </c>
      <c r="D244" s="79">
        <v>11</v>
      </c>
      <c r="G244" s="83">
        <v>38117</v>
      </c>
      <c r="H244" s="80">
        <v>0.7083333333333334</v>
      </c>
      <c r="I244" s="78">
        <v>34</v>
      </c>
      <c r="J244" s="79">
        <v>5</v>
      </c>
      <c r="M244" s="83">
        <v>38117</v>
      </c>
      <c r="N244" s="80">
        <v>0.7083333333333334</v>
      </c>
      <c r="O244" s="78">
        <v>19</v>
      </c>
      <c r="P244" s="79">
        <v>3</v>
      </c>
    </row>
    <row r="245" spans="1:16" ht="12.75">
      <c r="A245" s="83">
        <v>38117</v>
      </c>
      <c r="B245" s="80">
        <v>0.75</v>
      </c>
      <c r="C245" s="78">
        <v>27</v>
      </c>
      <c r="D245" s="79">
        <v>11</v>
      </c>
      <c r="G245" s="83">
        <v>38117</v>
      </c>
      <c r="H245" s="80">
        <v>0.75</v>
      </c>
      <c r="I245" s="78">
        <v>25</v>
      </c>
      <c r="J245" s="79">
        <v>8</v>
      </c>
      <c r="M245" s="83">
        <v>38117</v>
      </c>
      <c r="N245" s="80">
        <v>0.75</v>
      </c>
      <c r="O245" s="78">
        <v>27</v>
      </c>
      <c r="P245" s="79">
        <v>3</v>
      </c>
    </row>
    <row r="246" spans="1:16" ht="12.75">
      <c r="A246" s="83">
        <v>38117</v>
      </c>
      <c r="B246" s="80">
        <v>0.7916666666666666</v>
      </c>
      <c r="C246" s="78">
        <v>34</v>
      </c>
      <c r="D246" s="79">
        <v>11</v>
      </c>
      <c r="G246" s="83">
        <v>38117</v>
      </c>
      <c r="H246" s="80">
        <v>0.7916666666666666</v>
      </c>
      <c r="I246" s="78">
        <v>19</v>
      </c>
      <c r="J246" s="79">
        <v>0</v>
      </c>
      <c r="M246" s="83">
        <v>38117</v>
      </c>
      <c r="N246" s="80">
        <v>0.7916666666666666</v>
      </c>
      <c r="O246" s="78">
        <v>34</v>
      </c>
      <c r="P246" s="79">
        <v>3</v>
      </c>
    </row>
    <row r="247" spans="1:16" ht="12.75">
      <c r="A247" s="83">
        <v>38117</v>
      </c>
      <c r="B247" s="80">
        <v>0.8333333333333334</v>
      </c>
      <c r="C247" s="78">
        <v>48</v>
      </c>
      <c r="D247" s="79">
        <v>11</v>
      </c>
      <c r="G247" s="83">
        <v>38117</v>
      </c>
      <c r="H247" s="80">
        <v>0.8333333333333334</v>
      </c>
      <c r="I247" s="78">
        <v>29</v>
      </c>
      <c r="J247" s="79">
        <v>40</v>
      </c>
      <c r="M247" s="83">
        <v>38117</v>
      </c>
      <c r="N247" s="80">
        <v>0.8333333333333334</v>
      </c>
      <c r="O247" s="78">
        <v>61</v>
      </c>
      <c r="P247" s="79">
        <v>3</v>
      </c>
    </row>
    <row r="248" spans="1:16" ht="12.75">
      <c r="A248" s="83">
        <v>38117</v>
      </c>
      <c r="B248" s="80">
        <v>0.875</v>
      </c>
      <c r="C248" s="78">
        <v>65</v>
      </c>
      <c r="D248" s="79">
        <v>11</v>
      </c>
      <c r="G248" s="83">
        <v>38117</v>
      </c>
      <c r="H248" s="80">
        <v>0.875</v>
      </c>
      <c r="I248" s="78">
        <v>42</v>
      </c>
      <c r="J248" s="79">
        <v>104</v>
      </c>
      <c r="M248" s="83">
        <v>38117</v>
      </c>
      <c r="N248" s="80">
        <v>0.875</v>
      </c>
      <c r="O248" s="78">
        <v>48</v>
      </c>
      <c r="P248" s="79">
        <v>3</v>
      </c>
    </row>
    <row r="249" spans="1:16" ht="12.75">
      <c r="A249" s="83">
        <v>38117</v>
      </c>
      <c r="B249" s="80">
        <v>0.9166666666666666</v>
      </c>
      <c r="C249" s="78">
        <v>61</v>
      </c>
      <c r="D249" s="79">
        <v>11</v>
      </c>
      <c r="G249" s="83">
        <v>38117</v>
      </c>
      <c r="H249" s="80">
        <v>0.9166666666666666</v>
      </c>
      <c r="I249" s="78">
        <v>19</v>
      </c>
      <c r="J249" s="79">
        <v>3</v>
      </c>
      <c r="M249" s="83">
        <v>38117</v>
      </c>
      <c r="N249" s="80">
        <v>0.9166666666666666</v>
      </c>
      <c r="O249" s="78">
        <v>59</v>
      </c>
      <c r="P249" s="79">
        <v>3</v>
      </c>
    </row>
    <row r="250" spans="1:16" ht="12.75">
      <c r="A250" s="83">
        <v>38117</v>
      </c>
      <c r="B250" s="80">
        <v>0.9583333333333334</v>
      </c>
      <c r="C250" s="78">
        <v>53</v>
      </c>
      <c r="D250" s="79">
        <v>11</v>
      </c>
      <c r="G250" s="83">
        <v>38117</v>
      </c>
      <c r="H250" s="80">
        <v>0.9583333333333334</v>
      </c>
      <c r="I250" s="78">
        <v>17</v>
      </c>
      <c r="J250" s="79">
        <v>0</v>
      </c>
      <c r="M250" s="83">
        <v>38117</v>
      </c>
      <c r="N250" s="80">
        <v>0.9583333333333334</v>
      </c>
      <c r="O250" s="78">
        <v>52</v>
      </c>
      <c r="P250" s="79">
        <v>3</v>
      </c>
    </row>
    <row r="251" spans="1:16" ht="12.75">
      <c r="A251" s="83">
        <v>38117</v>
      </c>
      <c r="B251" s="81">
        <v>1</v>
      </c>
      <c r="C251" s="78">
        <v>46</v>
      </c>
      <c r="D251" s="79">
        <v>11</v>
      </c>
      <c r="G251" s="83">
        <v>38117</v>
      </c>
      <c r="H251" s="81">
        <v>1</v>
      </c>
      <c r="I251" s="78">
        <v>11</v>
      </c>
      <c r="J251" s="79">
        <v>0</v>
      </c>
      <c r="M251" s="83">
        <v>38117</v>
      </c>
      <c r="N251" s="81">
        <v>1</v>
      </c>
      <c r="O251" s="78">
        <v>50</v>
      </c>
      <c r="P251" s="79">
        <v>3</v>
      </c>
    </row>
    <row r="252" spans="1:16" s="92" customFormat="1" ht="12.75">
      <c r="A252" s="90">
        <v>38118</v>
      </c>
      <c r="B252" s="91">
        <v>0.041666666666666664</v>
      </c>
      <c r="C252" s="92">
        <v>40</v>
      </c>
      <c r="D252" s="92">
        <v>0</v>
      </c>
      <c r="G252" s="90">
        <v>38118</v>
      </c>
      <c r="H252" s="91">
        <v>0.041666666666666664</v>
      </c>
      <c r="I252" s="92">
        <v>10</v>
      </c>
      <c r="J252" s="92">
        <v>3</v>
      </c>
      <c r="M252" s="90">
        <v>38118</v>
      </c>
      <c r="N252" s="91">
        <v>0.041666666666666664</v>
      </c>
      <c r="O252" s="92">
        <v>44</v>
      </c>
      <c r="P252" s="92">
        <v>0</v>
      </c>
    </row>
    <row r="253" spans="1:16" ht="12.75">
      <c r="A253" s="83">
        <v>38118</v>
      </c>
      <c r="B253" s="80">
        <v>0.08333333333333333</v>
      </c>
      <c r="C253" s="78">
        <v>44</v>
      </c>
      <c r="D253" s="79">
        <v>0</v>
      </c>
      <c r="G253" s="83">
        <v>38118</v>
      </c>
      <c r="H253" s="80">
        <v>0.08333333333333333</v>
      </c>
      <c r="I253" s="78">
        <v>10</v>
      </c>
      <c r="J253" s="79">
        <v>3</v>
      </c>
      <c r="M253" s="83">
        <v>38118</v>
      </c>
      <c r="N253" s="80">
        <v>0.08333333333333333</v>
      </c>
      <c r="O253" s="78">
        <v>31</v>
      </c>
      <c r="P253" s="79">
        <v>0</v>
      </c>
    </row>
    <row r="254" spans="1:16" ht="12.75">
      <c r="A254" s="83">
        <v>38118</v>
      </c>
      <c r="B254" s="80">
        <v>0.125</v>
      </c>
      <c r="C254" s="78">
        <v>34</v>
      </c>
      <c r="D254" s="79">
        <v>0</v>
      </c>
      <c r="G254" s="83">
        <v>38118</v>
      </c>
      <c r="H254" s="80">
        <v>0.125</v>
      </c>
      <c r="I254" s="78">
        <v>10</v>
      </c>
      <c r="J254" s="79">
        <v>3</v>
      </c>
      <c r="M254" s="83">
        <v>38118</v>
      </c>
      <c r="N254" s="80">
        <v>0.125</v>
      </c>
      <c r="O254" s="78">
        <v>27</v>
      </c>
      <c r="P254" s="79">
        <v>0</v>
      </c>
    </row>
    <row r="255" spans="1:16" ht="12.75">
      <c r="A255" s="83">
        <v>38118</v>
      </c>
      <c r="B255" s="80">
        <v>0.16666666666666666</v>
      </c>
      <c r="C255" s="78">
        <v>32</v>
      </c>
      <c r="D255" s="79">
        <v>0</v>
      </c>
      <c r="G255" s="83">
        <v>38118</v>
      </c>
      <c r="H255" s="80">
        <v>0.16666666666666666</v>
      </c>
      <c r="I255" s="78">
        <v>8</v>
      </c>
      <c r="J255" s="79">
        <v>3</v>
      </c>
      <c r="M255" s="83">
        <v>38118</v>
      </c>
      <c r="N255" s="80">
        <v>0.16666666666666666</v>
      </c>
      <c r="O255" s="78">
        <v>21</v>
      </c>
      <c r="P255" s="79">
        <v>0</v>
      </c>
    </row>
    <row r="256" spans="1:16" ht="12.75">
      <c r="A256" s="83">
        <v>38118</v>
      </c>
      <c r="B256" s="80">
        <v>0.20833333333333334</v>
      </c>
      <c r="C256" s="78">
        <v>42</v>
      </c>
      <c r="D256" s="79">
        <v>3</v>
      </c>
      <c r="G256" s="83">
        <v>38118</v>
      </c>
      <c r="H256" s="80">
        <v>0.20833333333333334</v>
      </c>
      <c r="I256" s="78">
        <v>10</v>
      </c>
      <c r="J256" s="79">
        <v>3</v>
      </c>
      <c r="M256" s="83">
        <v>38118</v>
      </c>
      <c r="N256" s="80">
        <v>0.20833333333333334</v>
      </c>
      <c r="O256" s="78">
        <v>29</v>
      </c>
      <c r="P256" s="79">
        <v>0</v>
      </c>
    </row>
    <row r="257" spans="1:16" ht="12.75">
      <c r="A257" s="83">
        <v>38118</v>
      </c>
      <c r="B257" s="80">
        <v>0.25</v>
      </c>
      <c r="C257" s="78">
        <v>40</v>
      </c>
      <c r="D257" s="79">
        <v>0</v>
      </c>
      <c r="G257" s="83">
        <v>38118</v>
      </c>
      <c r="H257" s="80">
        <v>0.25</v>
      </c>
      <c r="I257" s="78">
        <v>13</v>
      </c>
      <c r="J257" s="79">
        <v>5</v>
      </c>
      <c r="M257" s="83">
        <v>38118</v>
      </c>
      <c r="N257" s="80">
        <v>0.25</v>
      </c>
      <c r="O257" s="78">
        <v>27</v>
      </c>
      <c r="P257" s="79">
        <v>0</v>
      </c>
    </row>
    <row r="258" spans="1:16" ht="12.75">
      <c r="A258" s="83">
        <v>38118</v>
      </c>
      <c r="B258" s="80">
        <v>0.2916666666666667</v>
      </c>
      <c r="C258" s="78">
        <v>52</v>
      </c>
      <c r="D258" s="79">
        <v>5</v>
      </c>
      <c r="G258" s="83">
        <v>38118</v>
      </c>
      <c r="H258" s="80">
        <v>0.2916666666666667</v>
      </c>
      <c r="I258" s="78">
        <v>23</v>
      </c>
      <c r="J258" s="79">
        <v>3</v>
      </c>
      <c r="M258" s="83">
        <v>38118</v>
      </c>
      <c r="N258" s="80">
        <v>0.2916666666666667</v>
      </c>
      <c r="O258" s="78">
        <v>25</v>
      </c>
      <c r="P258" s="79">
        <v>0</v>
      </c>
    </row>
    <row r="259" spans="1:16" ht="12.75">
      <c r="A259" s="83">
        <v>38118</v>
      </c>
      <c r="B259" s="80">
        <v>0.3333333333333333</v>
      </c>
      <c r="C259" s="78">
        <v>50</v>
      </c>
      <c r="D259" s="79">
        <v>5</v>
      </c>
      <c r="G259" s="83">
        <v>38118</v>
      </c>
      <c r="H259" s="80">
        <v>0.3333333333333333</v>
      </c>
      <c r="I259" s="78">
        <v>29</v>
      </c>
      <c r="J259" s="79">
        <v>3</v>
      </c>
      <c r="M259" s="83">
        <v>38118</v>
      </c>
      <c r="N259" s="80">
        <v>0.3333333333333333</v>
      </c>
      <c r="O259" s="78">
        <v>29</v>
      </c>
      <c r="P259" s="79">
        <v>0</v>
      </c>
    </row>
    <row r="260" spans="1:16" ht="12.75">
      <c r="A260" s="83">
        <v>38118</v>
      </c>
      <c r="B260" s="80">
        <v>0.375</v>
      </c>
      <c r="C260" s="78">
        <v>36</v>
      </c>
      <c r="D260" s="79">
        <v>5</v>
      </c>
      <c r="G260" s="83">
        <v>38118</v>
      </c>
      <c r="H260" s="80">
        <v>0.375</v>
      </c>
      <c r="I260" s="78">
        <v>36</v>
      </c>
      <c r="J260" s="79">
        <v>13</v>
      </c>
      <c r="M260" s="83">
        <v>38118</v>
      </c>
      <c r="N260" s="80">
        <v>0.375</v>
      </c>
      <c r="O260" s="78">
        <v>25</v>
      </c>
      <c r="P260" s="79">
        <v>0</v>
      </c>
    </row>
    <row r="261" spans="1:16" ht="12.75">
      <c r="A261" s="83">
        <v>38118</v>
      </c>
      <c r="B261" s="80">
        <v>0.4166666666666667</v>
      </c>
      <c r="C261" s="78">
        <v>29</v>
      </c>
      <c r="D261" s="79">
        <v>5</v>
      </c>
      <c r="G261" s="83">
        <v>38118</v>
      </c>
      <c r="H261" s="80">
        <v>0.4166666666666667</v>
      </c>
      <c r="I261" s="78">
        <v>29</v>
      </c>
      <c r="J261" s="79">
        <v>16</v>
      </c>
      <c r="M261" s="83">
        <v>38118</v>
      </c>
      <c r="N261" s="80">
        <v>0.4166666666666667</v>
      </c>
      <c r="O261" s="78">
        <v>23</v>
      </c>
      <c r="P261" s="79">
        <v>0</v>
      </c>
    </row>
    <row r="262" spans="1:16" ht="12.75">
      <c r="A262" s="83">
        <v>38118</v>
      </c>
      <c r="B262" s="80">
        <v>0.4583333333333333</v>
      </c>
      <c r="C262" s="78">
        <v>31</v>
      </c>
      <c r="D262" s="79">
        <v>3</v>
      </c>
      <c r="G262" s="83">
        <v>38118</v>
      </c>
      <c r="H262" s="80">
        <v>0.4583333333333333</v>
      </c>
      <c r="I262" s="78">
        <v>27</v>
      </c>
      <c r="J262" s="79">
        <v>11</v>
      </c>
      <c r="M262" s="83">
        <v>38118</v>
      </c>
      <c r="N262" s="80">
        <v>0.4583333333333333</v>
      </c>
      <c r="O262" s="78">
        <v>21</v>
      </c>
      <c r="P262" s="79">
        <v>0</v>
      </c>
    </row>
    <row r="263" spans="1:16" ht="12.75">
      <c r="A263" s="83">
        <v>38118</v>
      </c>
      <c r="B263" s="80">
        <v>0.5</v>
      </c>
      <c r="C263" s="78">
        <v>21</v>
      </c>
      <c r="D263" s="79">
        <v>3</v>
      </c>
      <c r="G263" s="83">
        <v>38118</v>
      </c>
      <c r="H263" s="80">
        <v>0.5</v>
      </c>
      <c r="I263" s="78">
        <v>27</v>
      </c>
      <c r="J263" s="79">
        <v>11</v>
      </c>
      <c r="M263" s="83">
        <v>38118</v>
      </c>
      <c r="N263" s="80">
        <v>0.5</v>
      </c>
      <c r="O263" s="78">
        <v>19</v>
      </c>
      <c r="P263" s="79">
        <v>0</v>
      </c>
    </row>
    <row r="264" spans="1:16" ht="12.75">
      <c r="A264" s="83">
        <v>38118</v>
      </c>
      <c r="B264" s="80">
        <v>0.5416666666666666</v>
      </c>
      <c r="C264" s="78">
        <v>17</v>
      </c>
      <c r="D264" s="79">
        <v>3</v>
      </c>
      <c r="G264" s="83">
        <v>38118</v>
      </c>
      <c r="H264" s="80">
        <v>0.5416666666666666</v>
      </c>
      <c r="I264" s="78">
        <v>31</v>
      </c>
      <c r="J264" s="79">
        <v>13</v>
      </c>
      <c r="M264" s="83">
        <v>38118</v>
      </c>
      <c r="N264" s="80">
        <v>0.5416666666666666</v>
      </c>
      <c r="O264" s="78">
        <v>19</v>
      </c>
      <c r="P264" s="79">
        <v>0</v>
      </c>
    </row>
    <row r="265" spans="1:16" ht="12.75">
      <c r="A265" s="83">
        <v>38118</v>
      </c>
      <c r="B265" s="80">
        <v>0.5833333333333334</v>
      </c>
      <c r="C265" s="78">
        <v>15</v>
      </c>
      <c r="D265" s="79">
        <v>3</v>
      </c>
      <c r="G265" s="83">
        <v>38118</v>
      </c>
      <c r="H265" s="80">
        <v>0.5833333333333334</v>
      </c>
      <c r="I265" s="78">
        <v>25</v>
      </c>
      <c r="J265" s="79">
        <v>11</v>
      </c>
      <c r="M265" s="83">
        <v>38118</v>
      </c>
      <c r="N265" s="80">
        <v>0.5833333333333334</v>
      </c>
      <c r="O265" s="78">
        <v>17</v>
      </c>
      <c r="P265" s="79">
        <v>0</v>
      </c>
    </row>
    <row r="266" spans="1:16" ht="12.75">
      <c r="A266" s="83">
        <v>38118</v>
      </c>
      <c r="B266" s="80">
        <v>0.625</v>
      </c>
      <c r="C266" s="78">
        <v>29</v>
      </c>
      <c r="D266" s="79">
        <v>3</v>
      </c>
      <c r="G266" s="83">
        <v>38118</v>
      </c>
      <c r="H266" s="80">
        <v>0.625</v>
      </c>
      <c r="I266" s="78">
        <v>25</v>
      </c>
      <c r="J266" s="79">
        <v>8</v>
      </c>
      <c r="M266" s="83">
        <v>38118</v>
      </c>
      <c r="N266" s="80">
        <v>0.625</v>
      </c>
      <c r="O266" s="78">
        <v>19</v>
      </c>
      <c r="P266" s="79">
        <v>0</v>
      </c>
    </row>
    <row r="267" spans="1:16" ht="12.75">
      <c r="A267" s="83">
        <v>38118</v>
      </c>
      <c r="B267" s="80">
        <v>0.6666666666666666</v>
      </c>
      <c r="C267" s="78">
        <v>53</v>
      </c>
      <c r="D267" s="79">
        <v>3</v>
      </c>
      <c r="G267" s="83">
        <v>38118</v>
      </c>
      <c r="H267" s="80">
        <v>0.6666666666666666</v>
      </c>
      <c r="I267" s="78">
        <v>32</v>
      </c>
      <c r="J267" s="79">
        <v>29</v>
      </c>
      <c r="M267" s="83">
        <v>38118</v>
      </c>
      <c r="N267" s="80">
        <v>0.6666666666666666</v>
      </c>
      <c r="O267" s="78">
        <v>23</v>
      </c>
      <c r="P267" s="79">
        <v>0</v>
      </c>
    </row>
    <row r="268" spans="1:16" ht="12.75">
      <c r="A268" s="83">
        <v>38118</v>
      </c>
      <c r="B268" s="80">
        <v>0.7083333333333334</v>
      </c>
      <c r="C268" s="78">
        <v>48</v>
      </c>
      <c r="D268" s="79">
        <v>0</v>
      </c>
      <c r="G268" s="83">
        <v>38118</v>
      </c>
      <c r="H268" s="80">
        <v>0.7083333333333334</v>
      </c>
      <c r="I268" s="78">
        <v>27</v>
      </c>
      <c r="J268" s="79">
        <v>11</v>
      </c>
      <c r="M268" s="83">
        <v>38118</v>
      </c>
      <c r="N268" s="80">
        <v>0.7083333333333334</v>
      </c>
      <c r="O268" s="78">
        <v>23</v>
      </c>
      <c r="P268" s="79">
        <v>0</v>
      </c>
    </row>
    <row r="269" spans="1:16" ht="12.75">
      <c r="A269" s="83">
        <v>38118</v>
      </c>
      <c r="B269" s="80">
        <v>0.75</v>
      </c>
      <c r="C269" s="78">
        <v>59</v>
      </c>
      <c r="D269" s="79">
        <v>0</v>
      </c>
      <c r="G269" s="83">
        <v>38118</v>
      </c>
      <c r="H269" s="80">
        <v>0.75</v>
      </c>
      <c r="I269" s="78">
        <v>31</v>
      </c>
      <c r="J269" s="79">
        <v>16</v>
      </c>
      <c r="M269" s="83">
        <v>38118</v>
      </c>
      <c r="N269" s="80">
        <v>0.75</v>
      </c>
      <c r="O269" s="78">
        <v>23</v>
      </c>
      <c r="P269" s="79">
        <v>0</v>
      </c>
    </row>
    <row r="270" spans="1:16" ht="12.75">
      <c r="A270" s="83">
        <v>38118</v>
      </c>
      <c r="B270" s="80">
        <v>0.7916666666666666</v>
      </c>
      <c r="C270" s="78">
        <v>44</v>
      </c>
      <c r="D270" s="79">
        <v>0</v>
      </c>
      <c r="G270" s="83">
        <v>38118</v>
      </c>
      <c r="H270" s="80">
        <v>0.7916666666666666</v>
      </c>
      <c r="I270" s="78">
        <v>27</v>
      </c>
      <c r="J270" s="79">
        <v>21</v>
      </c>
      <c r="M270" s="83">
        <v>38118</v>
      </c>
      <c r="N270" s="80">
        <v>0.7916666666666666</v>
      </c>
      <c r="O270" s="78">
        <v>23</v>
      </c>
      <c r="P270" s="79">
        <v>0</v>
      </c>
    </row>
    <row r="271" spans="1:16" ht="12.75">
      <c r="A271" s="83">
        <v>38118</v>
      </c>
      <c r="B271" s="80">
        <v>0.8333333333333334</v>
      </c>
      <c r="C271" s="78">
        <v>38</v>
      </c>
      <c r="D271" s="79">
        <v>0</v>
      </c>
      <c r="G271" s="83">
        <v>38118</v>
      </c>
      <c r="H271" s="80">
        <v>0.8333333333333334</v>
      </c>
      <c r="I271" s="78">
        <v>32</v>
      </c>
      <c r="J271" s="79">
        <v>8</v>
      </c>
      <c r="M271" s="83">
        <v>38118</v>
      </c>
      <c r="N271" s="80">
        <v>0.8333333333333334</v>
      </c>
      <c r="O271" s="78">
        <v>21</v>
      </c>
      <c r="P271" s="79">
        <v>0</v>
      </c>
    </row>
    <row r="272" spans="1:16" ht="12.75">
      <c r="A272" s="83">
        <v>38118</v>
      </c>
      <c r="B272" s="80">
        <v>0.875</v>
      </c>
      <c r="C272" s="78">
        <v>59</v>
      </c>
      <c r="D272" s="79">
        <v>0</v>
      </c>
      <c r="G272" s="83">
        <v>38118</v>
      </c>
      <c r="H272" s="80">
        <v>0.875</v>
      </c>
      <c r="I272" s="78">
        <v>27</v>
      </c>
      <c r="J272" s="79">
        <v>24</v>
      </c>
      <c r="M272" s="83">
        <v>38118</v>
      </c>
      <c r="N272" s="80">
        <v>0.875</v>
      </c>
      <c r="O272" s="78">
        <v>15</v>
      </c>
      <c r="P272" s="79">
        <v>0</v>
      </c>
    </row>
    <row r="273" spans="1:16" ht="12.75">
      <c r="A273" s="83">
        <v>38118</v>
      </c>
      <c r="B273" s="80">
        <v>0.9166666666666666</v>
      </c>
      <c r="C273" s="78">
        <v>52</v>
      </c>
      <c r="D273" s="79">
        <v>5</v>
      </c>
      <c r="G273" s="83">
        <v>38118</v>
      </c>
      <c r="H273" s="80">
        <v>0.9166666666666666</v>
      </c>
      <c r="I273" s="78">
        <v>19</v>
      </c>
      <c r="J273" s="79">
        <v>8</v>
      </c>
      <c r="M273" s="83">
        <v>38118</v>
      </c>
      <c r="N273" s="80">
        <v>0.9166666666666666</v>
      </c>
      <c r="O273" s="78">
        <v>21</v>
      </c>
      <c r="P273" s="79">
        <v>0</v>
      </c>
    </row>
    <row r="274" spans="1:16" ht="12.75">
      <c r="A274" s="83">
        <v>38118</v>
      </c>
      <c r="B274" s="80">
        <v>0.9583333333333334</v>
      </c>
      <c r="C274" s="78">
        <v>50</v>
      </c>
      <c r="D274" s="79">
        <v>5</v>
      </c>
      <c r="G274" s="83">
        <v>38118</v>
      </c>
      <c r="H274" s="80">
        <v>0.9583333333333334</v>
      </c>
      <c r="I274" s="78">
        <v>13</v>
      </c>
      <c r="J274" s="79">
        <v>3</v>
      </c>
      <c r="M274" s="83">
        <v>38118</v>
      </c>
      <c r="N274" s="80">
        <v>0.9583333333333334</v>
      </c>
      <c r="O274" s="78">
        <v>15</v>
      </c>
      <c r="P274" s="79">
        <v>0</v>
      </c>
    </row>
    <row r="275" spans="1:16" ht="12.75">
      <c r="A275" s="83">
        <v>38118</v>
      </c>
      <c r="B275" s="81">
        <v>1</v>
      </c>
      <c r="C275" s="78">
        <v>53</v>
      </c>
      <c r="D275" s="79">
        <v>5</v>
      </c>
      <c r="G275" s="83">
        <v>38118</v>
      </c>
      <c r="H275" s="81">
        <v>1</v>
      </c>
      <c r="I275" s="78">
        <v>10</v>
      </c>
      <c r="J275" s="79">
        <v>0</v>
      </c>
      <c r="M275" s="83">
        <v>38118</v>
      </c>
      <c r="N275" s="81">
        <v>1</v>
      </c>
      <c r="O275" s="78">
        <v>46</v>
      </c>
      <c r="P275" s="79">
        <v>0</v>
      </c>
    </row>
    <row r="276" spans="1:16" s="92" customFormat="1" ht="12.75">
      <c r="A276" s="90">
        <v>38119</v>
      </c>
      <c r="B276" s="91">
        <v>0.041666666666666664</v>
      </c>
      <c r="C276" s="92">
        <v>48</v>
      </c>
      <c r="D276" s="92">
        <v>0</v>
      </c>
      <c r="G276" s="90">
        <v>38119</v>
      </c>
      <c r="H276" s="91">
        <v>0.041666666666666664</v>
      </c>
      <c r="I276" s="92">
        <v>11</v>
      </c>
      <c r="J276" s="92">
        <v>0</v>
      </c>
      <c r="M276" s="90">
        <v>38119</v>
      </c>
      <c r="N276" s="91">
        <v>0.041666666666666664</v>
      </c>
      <c r="O276" s="92">
        <v>17</v>
      </c>
      <c r="P276" s="92">
        <v>0</v>
      </c>
    </row>
    <row r="277" spans="1:16" ht="12.75">
      <c r="A277" s="83">
        <v>38119</v>
      </c>
      <c r="B277" s="80">
        <v>0.08333333333333333</v>
      </c>
      <c r="C277" s="78">
        <v>32</v>
      </c>
      <c r="D277" s="79">
        <v>0</v>
      </c>
      <c r="G277" s="83">
        <v>38119</v>
      </c>
      <c r="H277" s="80">
        <v>0.08333333333333333</v>
      </c>
      <c r="I277" s="78">
        <v>11</v>
      </c>
      <c r="J277" s="79">
        <v>0</v>
      </c>
      <c r="M277" s="83">
        <v>38119</v>
      </c>
      <c r="N277" s="80">
        <v>0.08333333333333333</v>
      </c>
      <c r="O277" s="78">
        <v>13</v>
      </c>
      <c r="P277" s="79">
        <v>0</v>
      </c>
    </row>
    <row r="278" spans="1:16" ht="12.75">
      <c r="A278" s="83">
        <v>38119</v>
      </c>
      <c r="B278" s="80">
        <v>0.125</v>
      </c>
      <c r="C278" s="78">
        <v>29</v>
      </c>
      <c r="D278" s="79">
        <v>0</v>
      </c>
      <c r="G278" s="83">
        <v>38119</v>
      </c>
      <c r="H278" s="80">
        <v>0.125</v>
      </c>
      <c r="I278" s="78">
        <v>10</v>
      </c>
      <c r="J278" s="79">
        <v>0</v>
      </c>
      <c r="M278" s="83">
        <v>38119</v>
      </c>
      <c r="N278" s="80">
        <v>0.125</v>
      </c>
      <c r="O278" s="78">
        <v>6</v>
      </c>
      <c r="P278" s="79">
        <v>0</v>
      </c>
    </row>
    <row r="279" spans="1:16" ht="12.75">
      <c r="A279" s="83">
        <v>38119</v>
      </c>
      <c r="B279" s="80">
        <v>0.16666666666666666</v>
      </c>
      <c r="C279" s="78">
        <v>25</v>
      </c>
      <c r="D279" s="79">
        <v>0</v>
      </c>
      <c r="G279" s="83">
        <v>38119</v>
      </c>
      <c r="H279" s="80">
        <v>0.16666666666666666</v>
      </c>
      <c r="I279" s="78">
        <v>10</v>
      </c>
      <c r="J279" s="79">
        <v>5</v>
      </c>
      <c r="M279" s="83">
        <v>38119</v>
      </c>
      <c r="N279" s="80">
        <v>0.16666666666666666</v>
      </c>
      <c r="O279" s="78">
        <v>8</v>
      </c>
      <c r="P279" s="79">
        <v>0</v>
      </c>
    </row>
    <row r="280" spans="1:16" ht="12.75">
      <c r="A280" s="83">
        <v>38119</v>
      </c>
      <c r="B280" s="80">
        <v>0.20833333333333334</v>
      </c>
      <c r="C280" s="78">
        <v>31</v>
      </c>
      <c r="D280" s="79">
        <v>0</v>
      </c>
      <c r="G280" s="83">
        <v>38119</v>
      </c>
      <c r="H280" s="80">
        <v>0.20833333333333334</v>
      </c>
      <c r="I280" s="78">
        <v>11</v>
      </c>
      <c r="J280" s="79">
        <v>5</v>
      </c>
      <c r="M280" s="83">
        <v>38119</v>
      </c>
      <c r="N280" s="80">
        <v>0.20833333333333334</v>
      </c>
      <c r="O280" s="78">
        <v>8</v>
      </c>
      <c r="P280" s="79">
        <v>0</v>
      </c>
    </row>
    <row r="281" spans="1:16" ht="12.75">
      <c r="A281" s="83">
        <v>38119</v>
      </c>
      <c r="B281" s="80">
        <v>0.25</v>
      </c>
      <c r="C281" s="78">
        <v>34</v>
      </c>
      <c r="D281" s="79">
        <v>0</v>
      </c>
      <c r="G281" s="83">
        <v>38119</v>
      </c>
      <c r="H281" s="80">
        <v>0.25</v>
      </c>
      <c r="I281" s="78">
        <v>15</v>
      </c>
      <c r="J281" s="79">
        <v>8</v>
      </c>
      <c r="M281" s="83">
        <v>38119</v>
      </c>
      <c r="N281" s="80">
        <v>0.25</v>
      </c>
      <c r="O281" s="78">
        <v>11</v>
      </c>
      <c r="P281" s="79">
        <v>0</v>
      </c>
    </row>
    <row r="282" spans="1:16" ht="12.75">
      <c r="A282" s="83">
        <v>38119</v>
      </c>
      <c r="B282" s="80">
        <v>0.2916666666666667</v>
      </c>
      <c r="C282" s="78">
        <v>36</v>
      </c>
      <c r="D282" s="79">
        <v>0</v>
      </c>
      <c r="G282" s="83">
        <v>38119</v>
      </c>
      <c r="H282" s="80">
        <v>0.2916666666666667</v>
      </c>
      <c r="I282" s="78">
        <v>25</v>
      </c>
      <c r="J282" s="79">
        <v>5</v>
      </c>
      <c r="M282" s="83">
        <v>38119</v>
      </c>
      <c r="N282" s="80">
        <v>0.2916666666666667</v>
      </c>
      <c r="O282" s="78">
        <v>17</v>
      </c>
      <c r="P282" s="79">
        <v>0</v>
      </c>
    </row>
    <row r="283" spans="1:16" ht="12.75">
      <c r="A283" s="83">
        <v>38119</v>
      </c>
      <c r="B283" s="80">
        <v>0.3333333333333333</v>
      </c>
      <c r="C283" s="78">
        <v>32</v>
      </c>
      <c r="D283" s="79">
        <v>3</v>
      </c>
      <c r="G283" s="83">
        <v>38119</v>
      </c>
      <c r="H283" s="80">
        <v>0.3333333333333333</v>
      </c>
      <c r="I283" s="78">
        <v>29</v>
      </c>
      <c r="J283" s="79">
        <v>24</v>
      </c>
      <c r="M283" s="83">
        <v>38119</v>
      </c>
      <c r="N283" s="80">
        <v>0.3333333333333333</v>
      </c>
      <c r="O283" s="78">
        <v>23</v>
      </c>
      <c r="P283" s="79">
        <v>0</v>
      </c>
    </row>
    <row r="284" spans="1:16" ht="12.75">
      <c r="A284" s="83">
        <v>38119</v>
      </c>
      <c r="B284" s="80">
        <v>0.375</v>
      </c>
      <c r="C284" s="78">
        <v>32</v>
      </c>
      <c r="D284" s="79">
        <v>3</v>
      </c>
      <c r="G284" s="83">
        <v>38119</v>
      </c>
      <c r="H284" s="80">
        <v>0.375</v>
      </c>
      <c r="I284" s="78">
        <v>21</v>
      </c>
      <c r="J284" s="79">
        <v>16</v>
      </c>
      <c r="M284" s="83">
        <v>38119</v>
      </c>
      <c r="N284" s="80">
        <v>0.375</v>
      </c>
      <c r="O284" s="78">
        <v>23</v>
      </c>
      <c r="P284" s="79">
        <v>0</v>
      </c>
    </row>
    <row r="285" spans="1:16" ht="12.75">
      <c r="A285" s="83">
        <v>38119</v>
      </c>
      <c r="B285" s="80">
        <v>0.4166666666666667</v>
      </c>
      <c r="C285" s="78">
        <v>27</v>
      </c>
      <c r="G285" s="83">
        <v>38119</v>
      </c>
      <c r="H285" s="80">
        <v>0.4166666666666667</v>
      </c>
      <c r="I285" s="78">
        <v>29</v>
      </c>
      <c r="J285" s="79">
        <v>61</v>
      </c>
      <c r="M285" s="83">
        <v>38119</v>
      </c>
      <c r="N285" s="80">
        <v>0.4166666666666667</v>
      </c>
      <c r="O285" s="78">
        <v>15</v>
      </c>
      <c r="P285" s="79">
        <v>3</v>
      </c>
    </row>
    <row r="286" spans="1:16" ht="12.75">
      <c r="A286" s="83">
        <v>38119</v>
      </c>
      <c r="B286" s="80">
        <v>0.4583333333333333</v>
      </c>
      <c r="C286" s="78">
        <v>29</v>
      </c>
      <c r="G286" s="83">
        <v>38119</v>
      </c>
      <c r="H286" s="80">
        <v>0.4583333333333333</v>
      </c>
      <c r="I286" s="78">
        <v>32</v>
      </c>
      <c r="J286" s="79">
        <v>96</v>
      </c>
      <c r="M286" s="83">
        <v>38119</v>
      </c>
      <c r="N286" s="80">
        <v>0.4583333333333333</v>
      </c>
      <c r="O286" s="78">
        <v>17</v>
      </c>
      <c r="P286" s="79">
        <v>0</v>
      </c>
    </row>
    <row r="287" spans="1:16" ht="12.75">
      <c r="A287" s="83">
        <v>38119</v>
      </c>
      <c r="B287" s="80">
        <v>0.5</v>
      </c>
      <c r="C287" s="78">
        <v>31</v>
      </c>
      <c r="G287" s="83">
        <v>38119</v>
      </c>
      <c r="H287" s="80">
        <v>0.5</v>
      </c>
      <c r="I287" s="78">
        <v>32</v>
      </c>
      <c r="J287" s="79">
        <v>106</v>
      </c>
      <c r="M287" s="83">
        <v>38119</v>
      </c>
      <c r="N287" s="80">
        <v>0.5</v>
      </c>
      <c r="O287" s="78">
        <v>15</v>
      </c>
      <c r="P287" s="79">
        <v>0</v>
      </c>
    </row>
    <row r="288" spans="1:16" ht="12.75">
      <c r="A288" s="83">
        <v>38119</v>
      </c>
      <c r="B288" s="80">
        <v>0.5416666666666666</v>
      </c>
      <c r="C288" s="78">
        <v>34</v>
      </c>
      <c r="D288" s="79">
        <v>19</v>
      </c>
      <c r="G288" s="83">
        <v>38119</v>
      </c>
      <c r="H288" s="80">
        <v>0.5416666666666666</v>
      </c>
      <c r="I288" s="78">
        <v>27</v>
      </c>
      <c r="J288" s="79">
        <v>67</v>
      </c>
      <c r="M288" s="83">
        <v>38119</v>
      </c>
      <c r="N288" s="80">
        <v>0.5416666666666666</v>
      </c>
      <c r="O288" s="78">
        <v>13</v>
      </c>
      <c r="P288" s="79">
        <v>0</v>
      </c>
    </row>
    <row r="289" spans="1:16" ht="12.75">
      <c r="A289" s="83">
        <v>38119</v>
      </c>
      <c r="B289" s="80">
        <v>0.5833333333333334</v>
      </c>
      <c r="C289" s="78">
        <v>40</v>
      </c>
      <c r="D289" s="79">
        <v>19</v>
      </c>
      <c r="G289" s="83">
        <v>38119</v>
      </c>
      <c r="H289" s="80">
        <v>0.5833333333333334</v>
      </c>
      <c r="I289" s="78">
        <v>23</v>
      </c>
      <c r="J289" s="79">
        <v>29</v>
      </c>
      <c r="M289" s="83">
        <v>38119</v>
      </c>
      <c r="N289" s="80">
        <v>0.5833333333333334</v>
      </c>
      <c r="O289" s="78">
        <v>11</v>
      </c>
      <c r="P289" s="79">
        <v>0</v>
      </c>
    </row>
    <row r="290" spans="1:16" ht="12.75">
      <c r="A290" s="83">
        <v>38119</v>
      </c>
      <c r="B290" s="80">
        <v>0.625</v>
      </c>
      <c r="C290" s="78">
        <v>48</v>
      </c>
      <c r="D290" s="79">
        <v>19</v>
      </c>
      <c r="G290" s="83">
        <v>38119</v>
      </c>
      <c r="H290" s="80">
        <v>0.625</v>
      </c>
      <c r="I290" s="78">
        <v>23</v>
      </c>
      <c r="J290" s="79">
        <v>19</v>
      </c>
      <c r="M290" s="83">
        <v>38119</v>
      </c>
      <c r="N290" s="80">
        <v>0.625</v>
      </c>
      <c r="O290" s="78">
        <v>13</v>
      </c>
      <c r="P290" s="79">
        <v>0</v>
      </c>
    </row>
    <row r="291" spans="1:16" ht="12.75">
      <c r="A291" s="83">
        <v>38119</v>
      </c>
      <c r="B291" s="80">
        <v>0.6666666666666666</v>
      </c>
      <c r="C291" s="78">
        <v>48</v>
      </c>
      <c r="D291" s="79">
        <v>19</v>
      </c>
      <c r="G291" s="83">
        <v>38119</v>
      </c>
      <c r="H291" s="80">
        <v>0.6666666666666666</v>
      </c>
      <c r="I291" s="78">
        <v>21</v>
      </c>
      <c r="J291" s="79">
        <v>5</v>
      </c>
      <c r="M291" s="83">
        <v>38119</v>
      </c>
      <c r="N291" s="80">
        <v>0.6666666666666666</v>
      </c>
      <c r="O291" s="78">
        <v>13</v>
      </c>
      <c r="P291" s="79">
        <v>0</v>
      </c>
    </row>
    <row r="292" spans="1:16" ht="12.75">
      <c r="A292" s="83">
        <v>38119</v>
      </c>
      <c r="B292" s="80">
        <v>0.7083333333333334</v>
      </c>
      <c r="C292" s="78">
        <v>44</v>
      </c>
      <c r="D292" s="79">
        <v>16</v>
      </c>
      <c r="G292" s="83">
        <v>38119</v>
      </c>
      <c r="H292" s="80">
        <v>0.7083333333333334</v>
      </c>
      <c r="I292" s="78">
        <v>23</v>
      </c>
      <c r="J292" s="79">
        <v>8</v>
      </c>
      <c r="M292" s="83">
        <v>38119</v>
      </c>
      <c r="N292" s="80">
        <v>0.7083333333333334</v>
      </c>
      <c r="O292" s="78">
        <v>17</v>
      </c>
      <c r="P292" s="79">
        <v>0</v>
      </c>
    </row>
    <row r="293" spans="1:16" ht="12.75">
      <c r="A293" s="83">
        <v>38119</v>
      </c>
      <c r="B293" s="80">
        <v>0.75</v>
      </c>
      <c r="C293" s="78">
        <v>46</v>
      </c>
      <c r="D293" s="79">
        <v>16</v>
      </c>
      <c r="G293" s="83">
        <v>38119</v>
      </c>
      <c r="H293" s="80">
        <v>0.75</v>
      </c>
      <c r="I293" s="78">
        <v>34</v>
      </c>
      <c r="J293" s="79">
        <v>35</v>
      </c>
      <c r="M293" s="83">
        <v>38119</v>
      </c>
      <c r="N293" s="80">
        <v>0.75</v>
      </c>
      <c r="O293" s="78">
        <v>19</v>
      </c>
      <c r="P293" s="79">
        <v>0</v>
      </c>
    </row>
    <row r="294" spans="1:16" ht="12.75">
      <c r="A294" s="83">
        <v>38119</v>
      </c>
      <c r="B294" s="80">
        <v>0.7916666666666666</v>
      </c>
      <c r="C294" s="78">
        <v>52</v>
      </c>
      <c r="D294" s="79">
        <v>21</v>
      </c>
      <c r="G294" s="83">
        <v>38119</v>
      </c>
      <c r="H294" s="80">
        <v>0.7916666666666666</v>
      </c>
      <c r="I294" s="78">
        <v>36</v>
      </c>
      <c r="J294" s="79">
        <v>32</v>
      </c>
      <c r="M294" s="83">
        <v>38119</v>
      </c>
      <c r="N294" s="80">
        <v>0.7916666666666666</v>
      </c>
      <c r="O294" s="78">
        <v>21</v>
      </c>
      <c r="P294" s="79">
        <v>0</v>
      </c>
    </row>
    <row r="295" spans="1:16" ht="12.75">
      <c r="A295" s="83">
        <v>38119</v>
      </c>
      <c r="B295" s="80">
        <v>0.8333333333333334</v>
      </c>
      <c r="C295" s="78">
        <v>55</v>
      </c>
      <c r="D295" s="79">
        <v>21</v>
      </c>
      <c r="G295" s="83">
        <v>38119</v>
      </c>
      <c r="H295" s="80">
        <v>0.8333333333333334</v>
      </c>
      <c r="I295" s="78">
        <v>25</v>
      </c>
      <c r="J295" s="79">
        <v>8</v>
      </c>
      <c r="M295" s="83">
        <v>38119</v>
      </c>
      <c r="N295" s="80">
        <v>0.8333333333333334</v>
      </c>
      <c r="O295" s="78">
        <v>34</v>
      </c>
      <c r="P295" s="79">
        <v>0</v>
      </c>
    </row>
    <row r="296" spans="1:16" ht="12.75">
      <c r="A296" s="83">
        <v>38119</v>
      </c>
      <c r="B296" s="80">
        <v>0.875</v>
      </c>
      <c r="C296" s="78">
        <v>34</v>
      </c>
      <c r="D296" s="79">
        <v>16</v>
      </c>
      <c r="G296" s="83">
        <v>38119</v>
      </c>
      <c r="H296" s="80">
        <v>0.875</v>
      </c>
      <c r="I296" s="78">
        <v>36</v>
      </c>
      <c r="J296" s="79">
        <v>8</v>
      </c>
      <c r="M296" s="83">
        <v>38119</v>
      </c>
      <c r="N296" s="80">
        <v>0.875</v>
      </c>
      <c r="O296" s="78">
        <v>61</v>
      </c>
      <c r="P296" s="79">
        <v>0</v>
      </c>
    </row>
    <row r="297" spans="1:16" ht="12.75">
      <c r="A297" s="83">
        <v>38119</v>
      </c>
      <c r="B297" s="80">
        <v>0.9166666666666666</v>
      </c>
      <c r="C297" s="78">
        <v>32</v>
      </c>
      <c r="D297" s="79">
        <v>13</v>
      </c>
      <c r="G297" s="83">
        <v>38119</v>
      </c>
      <c r="H297" s="80">
        <v>0.9166666666666666</v>
      </c>
      <c r="I297" s="78">
        <v>52</v>
      </c>
      <c r="J297" s="79">
        <v>16</v>
      </c>
      <c r="M297" s="83">
        <v>38119</v>
      </c>
      <c r="N297" s="80">
        <v>0.9166666666666666</v>
      </c>
      <c r="O297" s="78">
        <v>65</v>
      </c>
      <c r="P297" s="79">
        <v>0</v>
      </c>
    </row>
    <row r="298" spans="1:16" ht="12.75">
      <c r="A298" s="83">
        <v>38119</v>
      </c>
      <c r="B298" s="80">
        <v>0.9583333333333334</v>
      </c>
      <c r="C298" s="78">
        <v>36</v>
      </c>
      <c r="D298" s="79">
        <v>11</v>
      </c>
      <c r="G298" s="83">
        <v>38119</v>
      </c>
      <c r="H298" s="80">
        <v>0.9583333333333334</v>
      </c>
      <c r="I298" s="78">
        <v>38</v>
      </c>
      <c r="J298" s="79">
        <v>8</v>
      </c>
      <c r="M298" s="83">
        <v>38119</v>
      </c>
      <c r="N298" s="80">
        <v>0.9583333333333334</v>
      </c>
      <c r="O298" s="78">
        <v>52</v>
      </c>
      <c r="P298" s="79">
        <v>0</v>
      </c>
    </row>
    <row r="299" spans="1:16" ht="12.75">
      <c r="A299" s="83">
        <v>38119</v>
      </c>
      <c r="B299" s="81">
        <v>1</v>
      </c>
      <c r="C299" s="78">
        <v>38</v>
      </c>
      <c r="D299" s="79">
        <v>11</v>
      </c>
      <c r="G299" s="83">
        <v>38119</v>
      </c>
      <c r="H299" s="81">
        <v>1</v>
      </c>
      <c r="I299" s="78">
        <v>19</v>
      </c>
      <c r="J299" s="79">
        <v>3</v>
      </c>
      <c r="M299" s="83">
        <v>38119</v>
      </c>
      <c r="N299" s="81">
        <v>1</v>
      </c>
      <c r="O299" s="78">
        <v>36</v>
      </c>
      <c r="P299" s="79">
        <v>0</v>
      </c>
    </row>
    <row r="300" spans="1:16" s="92" customFormat="1" ht="12.75">
      <c r="A300" s="90">
        <v>38120</v>
      </c>
      <c r="B300" s="91">
        <v>0.041666666666666664</v>
      </c>
      <c r="C300" s="92">
        <v>36</v>
      </c>
      <c r="D300" s="92">
        <v>11</v>
      </c>
      <c r="G300" s="90">
        <v>38120</v>
      </c>
      <c r="H300" s="91">
        <v>0.041666666666666664</v>
      </c>
      <c r="I300" s="92">
        <v>13</v>
      </c>
      <c r="J300" s="92">
        <v>0</v>
      </c>
      <c r="M300" s="90">
        <v>38120</v>
      </c>
      <c r="N300" s="91">
        <v>0.041666666666666664</v>
      </c>
      <c r="O300" s="92">
        <v>42</v>
      </c>
      <c r="P300" s="92">
        <v>0</v>
      </c>
    </row>
    <row r="301" spans="1:16" ht="12.75">
      <c r="A301" s="83">
        <v>38120</v>
      </c>
      <c r="B301" s="80">
        <v>0.08333333333333333</v>
      </c>
      <c r="C301" s="78">
        <v>40</v>
      </c>
      <c r="D301" s="79">
        <v>0</v>
      </c>
      <c r="G301" s="83">
        <v>38120</v>
      </c>
      <c r="H301" s="80">
        <v>0.08333333333333333</v>
      </c>
      <c r="I301" s="78">
        <v>13</v>
      </c>
      <c r="J301" s="79">
        <v>0</v>
      </c>
      <c r="M301" s="83">
        <v>38120</v>
      </c>
      <c r="N301" s="80">
        <v>0.08333333333333333</v>
      </c>
      <c r="O301" s="78">
        <v>29</v>
      </c>
      <c r="P301" s="79">
        <v>0</v>
      </c>
    </row>
    <row r="302" spans="1:16" ht="12.75">
      <c r="A302" s="83">
        <v>38120</v>
      </c>
      <c r="B302" s="80">
        <v>0.125</v>
      </c>
      <c r="C302" s="78">
        <v>29</v>
      </c>
      <c r="D302" s="79">
        <v>11</v>
      </c>
      <c r="G302" s="83">
        <v>38120</v>
      </c>
      <c r="H302" s="80">
        <v>0.125</v>
      </c>
      <c r="I302" s="78">
        <v>11</v>
      </c>
      <c r="J302" s="79">
        <v>0</v>
      </c>
      <c r="M302" s="83">
        <v>38120</v>
      </c>
      <c r="N302" s="80">
        <v>0.125</v>
      </c>
      <c r="O302" s="78">
        <v>21</v>
      </c>
      <c r="P302" s="79">
        <v>0</v>
      </c>
    </row>
    <row r="303" spans="1:16" ht="12.75">
      <c r="A303" s="83">
        <v>38120</v>
      </c>
      <c r="B303" s="80">
        <v>0.16666666666666666</v>
      </c>
      <c r="C303" s="78">
        <v>27</v>
      </c>
      <c r="D303" s="79">
        <v>11</v>
      </c>
      <c r="G303" s="83">
        <v>38120</v>
      </c>
      <c r="H303" s="80">
        <v>0.16666666666666666</v>
      </c>
      <c r="I303" s="78">
        <v>11</v>
      </c>
      <c r="J303" s="79">
        <v>0</v>
      </c>
      <c r="M303" s="83">
        <v>38120</v>
      </c>
      <c r="N303" s="80">
        <v>0.16666666666666666</v>
      </c>
      <c r="O303" s="78">
        <v>17</v>
      </c>
      <c r="P303" s="79">
        <v>0</v>
      </c>
    </row>
    <row r="304" spans="1:16" ht="12.75">
      <c r="A304" s="83">
        <v>38120</v>
      </c>
      <c r="B304" s="80">
        <v>0.20833333333333334</v>
      </c>
      <c r="C304" s="78">
        <v>19</v>
      </c>
      <c r="D304" s="79">
        <v>11</v>
      </c>
      <c r="G304" s="83">
        <v>38120</v>
      </c>
      <c r="H304" s="80">
        <v>0.20833333333333334</v>
      </c>
      <c r="I304" s="78">
        <v>13</v>
      </c>
      <c r="J304" s="79">
        <v>0</v>
      </c>
      <c r="M304" s="83">
        <v>38120</v>
      </c>
      <c r="N304" s="80">
        <v>0.20833333333333334</v>
      </c>
      <c r="O304" s="78">
        <v>23</v>
      </c>
      <c r="P304" s="79">
        <v>0</v>
      </c>
    </row>
    <row r="305" spans="1:16" ht="12.75">
      <c r="A305" s="83">
        <v>38120</v>
      </c>
      <c r="B305" s="80">
        <v>0.25</v>
      </c>
      <c r="C305" s="78">
        <v>25</v>
      </c>
      <c r="D305" s="79">
        <v>8</v>
      </c>
      <c r="G305" s="83">
        <v>38120</v>
      </c>
      <c r="H305" s="80">
        <v>0.25</v>
      </c>
      <c r="I305" s="78">
        <v>21</v>
      </c>
      <c r="J305" s="79">
        <v>0</v>
      </c>
      <c r="M305" s="83">
        <v>38120</v>
      </c>
      <c r="N305" s="80">
        <v>0.25</v>
      </c>
      <c r="O305" s="78">
        <v>38</v>
      </c>
      <c r="P305" s="79">
        <v>0</v>
      </c>
    </row>
    <row r="306" spans="1:16" ht="12.75">
      <c r="A306" s="83">
        <v>38120</v>
      </c>
      <c r="B306" s="80">
        <v>0.2916666666666667</v>
      </c>
      <c r="C306" s="78">
        <v>38</v>
      </c>
      <c r="D306" s="79">
        <v>11</v>
      </c>
      <c r="G306" s="83">
        <v>38120</v>
      </c>
      <c r="H306" s="80">
        <v>0.2916666666666667</v>
      </c>
      <c r="I306" s="78">
        <v>27</v>
      </c>
      <c r="J306" s="79">
        <v>0</v>
      </c>
      <c r="M306" s="83">
        <v>38120</v>
      </c>
      <c r="N306" s="80">
        <v>0.2916666666666667</v>
      </c>
      <c r="O306" s="78">
        <v>42</v>
      </c>
      <c r="P306" s="79">
        <v>0</v>
      </c>
    </row>
    <row r="307" spans="1:16" ht="12.75">
      <c r="A307" s="83">
        <v>38120</v>
      </c>
      <c r="B307" s="80">
        <v>0.3333333333333333</v>
      </c>
      <c r="C307" s="78">
        <v>42</v>
      </c>
      <c r="D307" s="79">
        <v>11</v>
      </c>
      <c r="G307" s="83">
        <v>38120</v>
      </c>
      <c r="H307" s="80">
        <v>0.3333333333333333</v>
      </c>
      <c r="I307" s="78">
        <v>31</v>
      </c>
      <c r="J307" s="79">
        <v>0</v>
      </c>
      <c r="M307" s="83">
        <v>38120</v>
      </c>
      <c r="N307" s="80">
        <v>0.3333333333333333</v>
      </c>
      <c r="O307" s="78">
        <v>34</v>
      </c>
      <c r="P307" s="79">
        <v>0</v>
      </c>
    </row>
    <row r="308" spans="1:16" ht="12.75">
      <c r="A308" s="83">
        <v>38120</v>
      </c>
      <c r="B308" s="80">
        <v>0.375</v>
      </c>
      <c r="C308" s="78">
        <v>46</v>
      </c>
      <c r="D308" s="79">
        <v>11</v>
      </c>
      <c r="G308" s="83">
        <v>38120</v>
      </c>
      <c r="H308" s="80">
        <v>0.375</v>
      </c>
      <c r="I308" s="78">
        <v>38</v>
      </c>
      <c r="J308" s="79">
        <v>3</v>
      </c>
      <c r="M308" s="83">
        <v>38120</v>
      </c>
      <c r="N308" s="80">
        <v>0.375</v>
      </c>
      <c r="O308" s="78">
        <v>29</v>
      </c>
      <c r="P308" s="79">
        <v>0</v>
      </c>
    </row>
    <row r="309" spans="1:16" ht="12.75">
      <c r="A309" s="83">
        <v>38120</v>
      </c>
      <c r="B309" s="80">
        <v>0.4166666666666667</v>
      </c>
      <c r="C309" s="78">
        <v>32</v>
      </c>
      <c r="D309" s="79">
        <v>11</v>
      </c>
      <c r="G309" s="83">
        <v>38120</v>
      </c>
      <c r="H309" s="80">
        <v>0.4166666666666667</v>
      </c>
      <c r="I309" s="78">
        <v>29</v>
      </c>
      <c r="J309" s="79">
        <v>3</v>
      </c>
      <c r="M309" s="83">
        <v>38120</v>
      </c>
      <c r="N309" s="80">
        <v>0.4166666666666667</v>
      </c>
      <c r="O309" s="78">
        <v>29</v>
      </c>
      <c r="P309" s="79">
        <v>3</v>
      </c>
    </row>
    <row r="310" spans="1:16" ht="12.75">
      <c r="A310" s="83">
        <v>38120</v>
      </c>
      <c r="B310" s="80">
        <v>0.4583333333333333</v>
      </c>
      <c r="C310" s="78">
        <v>31</v>
      </c>
      <c r="D310" s="79">
        <v>11</v>
      </c>
      <c r="G310" s="83">
        <v>38120</v>
      </c>
      <c r="H310" s="80">
        <v>0.4583333333333333</v>
      </c>
      <c r="M310" s="83">
        <v>38120</v>
      </c>
      <c r="N310" s="80">
        <v>0.4583333333333333</v>
      </c>
      <c r="O310" s="78">
        <v>23</v>
      </c>
      <c r="P310" s="79">
        <v>3</v>
      </c>
    </row>
    <row r="311" spans="1:16" ht="12.75">
      <c r="A311" s="83">
        <v>38120</v>
      </c>
      <c r="B311" s="80">
        <v>0.5</v>
      </c>
      <c r="C311" s="78">
        <v>31</v>
      </c>
      <c r="D311" s="79">
        <v>13</v>
      </c>
      <c r="G311" s="83">
        <v>38120</v>
      </c>
      <c r="H311" s="80">
        <v>0.5</v>
      </c>
      <c r="M311" s="83">
        <v>38120</v>
      </c>
      <c r="N311" s="80">
        <v>0.5</v>
      </c>
      <c r="O311" s="78">
        <v>13</v>
      </c>
      <c r="P311" s="79">
        <v>0</v>
      </c>
    </row>
    <row r="312" spans="1:16" ht="12.75">
      <c r="A312" s="83">
        <v>38120</v>
      </c>
      <c r="B312" s="80">
        <v>0.5416666666666666</v>
      </c>
      <c r="D312" s="79">
        <v>16</v>
      </c>
      <c r="G312" s="83">
        <v>38120</v>
      </c>
      <c r="H312" s="80">
        <v>0.5416666666666666</v>
      </c>
      <c r="J312" s="79">
        <v>3</v>
      </c>
      <c r="M312" s="83">
        <v>38120</v>
      </c>
      <c r="N312" s="80">
        <v>0.5416666666666666</v>
      </c>
      <c r="O312" s="78">
        <v>11</v>
      </c>
      <c r="P312" s="79">
        <v>0</v>
      </c>
    </row>
    <row r="313" spans="1:16" ht="12.75">
      <c r="A313" s="83">
        <v>38120</v>
      </c>
      <c r="B313" s="80">
        <v>0.5833333333333334</v>
      </c>
      <c r="D313" s="79">
        <v>27</v>
      </c>
      <c r="G313" s="83">
        <v>38120</v>
      </c>
      <c r="H313" s="80">
        <v>0.5833333333333334</v>
      </c>
      <c r="J313" s="79">
        <v>3</v>
      </c>
      <c r="M313" s="83">
        <v>38120</v>
      </c>
      <c r="N313" s="80">
        <v>0.5833333333333334</v>
      </c>
      <c r="P313" s="79">
        <v>0</v>
      </c>
    </row>
    <row r="314" spans="1:16" ht="12.75">
      <c r="A314" s="83">
        <v>38120</v>
      </c>
      <c r="B314" s="80">
        <v>0.625</v>
      </c>
      <c r="G314" s="83">
        <v>38120</v>
      </c>
      <c r="H314" s="80">
        <v>0.625</v>
      </c>
      <c r="I314" s="78">
        <v>36</v>
      </c>
      <c r="J314" s="79">
        <v>0</v>
      </c>
      <c r="M314" s="83">
        <v>38120</v>
      </c>
      <c r="N314" s="80">
        <v>0.625</v>
      </c>
      <c r="O314" s="78">
        <v>15</v>
      </c>
      <c r="P314" s="79">
        <v>3</v>
      </c>
    </row>
    <row r="315" spans="1:16" ht="12.75">
      <c r="A315" s="83">
        <v>38120</v>
      </c>
      <c r="B315" s="80">
        <v>0.6666666666666666</v>
      </c>
      <c r="G315" s="83">
        <v>38120</v>
      </c>
      <c r="H315" s="80">
        <v>0.6666666666666666</v>
      </c>
      <c r="I315" s="78">
        <v>32</v>
      </c>
      <c r="J315" s="79">
        <v>3</v>
      </c>
      <c r="M315" s="83">
        <v>38120</v>
      </c>
      <c r="N315" s="80">
        <v>0.6666666666666666</v>
      </c>
      <c r="O315" s="78">
        <v>15</v>
      </c>
      <c r="P315" s="79">
        <v>0</v>
      </c>
    </row>
    <row r="316" spans="1:16" ht="12.75">
      <c r="A316" s="83">
        <v>38120</v>
      </c>
      <c r="B316" s="80">
        <v>0.7083333333333334</v>
      </c>
      <c r="C316" s="78">
        <v>38</v>
      </c>
      <c r="D316" s="79">
        <v>11</v>
      </c>
      <c r="G316" s="83">
        <v>38120</v>
      </c>
      <c r="H316" s="80">
        <v>0.7083333333333334</v>
      </c>
      <c r="I316" s="78">
        <v>29</v>
      </c>
      <c r="J316" s="79">
        <v>0</v>
      </c>
      <c r="M316" s="83">
        <v>38120</v>
      </c>
      <c r="N316" s="80">
        <v>0.7083333333333334</v>
      </c>
      <c r="O316" s="78">
        <v>13</v>
      </c>
      <c r="P316" s="79">
        <v>3</v>
      </c>
    </row>
    <row r="317" spans="1:16" ht="12.75">
      <c r="A317" s="83">
        <v>38120</v>
      </c>
      <c r="B317" s="80">
        <v>0.75</v>
      </c>
      <c r="C317" s="78">
        <v>40</v>
      </c>
      <c r="D317" s="79">
        <v>8</v>
      </c>
      <c r="G317" s="83">
        <v>38120</v>
      </c>
      <c r="H317" s="80">
        <v>0.75</v>
      </c>
      <c r="I317" s="78">
        <v>25</v>
      </c>
      <c r="J317" s="79">
        <v>0</v>
      </c>
      <c r="M317" s="83">
        <v>38120</v>
      </c>
      <c r="N317" s="80">
        <v>0.75</v>
      </c>
      <c r="O317" s="78">
        <v>17</v>
      </c>
      <c r="P317" s="79">
        <v>0</v>
      </c>
    </row>
    <row r="318" spans="1:16" ht="12.75">
      <c r="A318" s="83">
        <v>38120</v>
      </c>
      <c r="B318" s="80">
        <v>0.7916666666666666</v>
      </c>
      <c r="C318" s="78">
        <v>50</v>
      </c>
      <c r="D318" s="79">
        <v>8</v>
      </c>
      <c r="G318" s="83">
        <v>38120</v>
      </c>
      <c r="H318" s="80">
        <v>0.7916666666666666</v>
      </c>
      <c r="I318" s="78">
        <v>23</v>
      </c>
      <c r="J318" s="79">
        <v>0</v>
      </c>
      <c r="M318" s="83">
        <v>38120</v>
      </c>
      <c r="N318" s="80">
        <v>0.7916666666666666</v>
      </c>
      <c r="O318" s="78">
        <v>21</v>
      </c>
      <c r="P318" s="79">
        <v>0</v>
      </c>
    </row>
    <row r="319" spans="1:16" ht="12.75">
      <c r="A319" s="83">
        <v>38120</v>
      </c>
      <c r="B319" s="80">
        <v>0.8333333333333334</v>
      </c>
      <c r="C319" s="78">
        <v>44</v>
      </c>
      <c r="D319" s="79">
        <v>8</v>
      </c>
      <c r="G319" s="83">
        <v>38120</v>
      </c>
      <c r="H319" s="80">
        <v>0.8333333333333334</v>
      </c>
      <c r="I319" s="78">
        <v>21</v>
      </c>
      <c r="J319" s="79">
        <v>0</v>
      </c>
      <c r="M319" s="83">
        <v>38120</v>
      </c>
      <c r="N319" s="80">
        <v>0.8333333333333334</v>
      </c>
      <c r="O319" s="78">
        <v>50</v>
      </c>
      <c r="P319" s="79">
        <v>3</v>
      </c>
    </row>
    <row r="320" spans="1:16" ht="12.75">
      <c r="A320" s="83">
        <v>38120</v>
      </c>
      <c r="B320" s="80">
        <v>0.875</v>
      </c>
      <c r="C320" s="78">
        <v>27</v>
      </c>
      <c r="D320" s="79">
        <v>8</v>
      </c>
      <c r="G320" s="83">
        <v>38120</v>
      </c>
      <c r="H320" s="80">
        <v>0.875</v>
      </c>
      <c r="I320" s="78">
        <v>23</v>
      </c>
      <c r="J320" s="79">
        <v>0</v>
      </c>
      <c r="M320" s="83">
        <v>38120</v>
      </c>
      <c r="N320" s="80">
        <v>0.875</v>
      </c>
      <c r="O320" s="78">
        <v>78</v>
      </c>
      <c r="P320" s="79">
        <v>5</v>
      </c>
    </row>
    <row r="321" spans="1:16" ht="12.75">
      <c r="A321" s="83">
        <v>38120</v>
      </c>
      <c r="B321" s="80">
        <v>0.9166666666666666</v>
      </c>
      <c r="C321" s="78">
        <v>25</v>
      </c>
      <c r="D321" s="79">
        <v>8</v>
      </c>
      <c r="G321" s="83">
        <v>38120</v>
      </c>
      <c r="H321" s="80">
        <v>0.9166666666666666</v>
      </c>
      <c r="I321" s="78">
        <v>15</v>
      </c>
      <c r="J321" s="79">
        <v>0</v>
      </c>
      <c r="M321" s="83">
        <v>38120</v>
      </c>
      <c r="N321" s="80">
        <v>0.9166666666666666</v>
      </c>
      <c r="O321" s="78">
        <v>94</v>
      </c>
      <c r="P321" s="79">
        <v>5</v>
      </c>
    </row>
    <row r="322" spans="1:16" ht="12.75">
      <c r="A322" s="83">
        <v>38120</v>
      </c>
      <c r="B322" s="80">
        <v>0.9583333333333334</v>
      </c>
      <c r="C322" s="78">
        <v>32</v>
      </c>
      <c r="D322" s="79">
        <v>8</v>
      </c>
      <c r="G322" s="83">
        <v>38120</v>
      </c>
      <c r="H322" s="80">
        <v>0.9583333333333334</v>
      </c>
      <c r="I322" s="78">
        <v>15</v>
      </c>
      <c r="J322" s="79">
        <v>0</v>
      </c>
      <c r="M322" s="83">
        <v>38120</v>
      </c>
      <c r="N322" s="80">
        <v>0.9583333333333334</v>
      </c>
      <c r="O322" s="78">
        <v>71</v>
      </c>
      <c r="P322" s="79">
        <v>5</v>
      </c>
    </row>
    <row r="323" spans="1:16" ht="12.75">
      <c r="A323" s="83">
        <v>38120</v>
      </c>
      <c r="B323" s="81">
        <v>1</v>
      </c>
      <c r="C323" s="78">
        <v>29</v>
      </c>
      <c r="D323" s="79">
        <v>8</v>
      </c>
      <c r="G323" s="83">
        <v>38120</v>
      </c>
      <c r="H323" s="81">
        <v>1</v>
      </c>
      <c r="I323" s="78">
        <v>10</v>
      </c>
      <c r="J323" s="79">
        <v>0</v>
      </c>
      <c r="M323" s="83">
        <v>38120</v>
      </c>
      <c r="N323" s="81">
        <v>1</v>
      </c>
      <c r="O323" s="78">
        <v>61</v>
      </c>
      <c r="P323" s="79">
        <v>3</v>
      </c>
    </row>
    <row r="324" spans="1:16" s="92" customFormat="1" ht="12.75">
      <c r="A324" s="90">
        <v>38121</v>
      </c>
      <c r="B324" s="91">
        <v>0.041666666666666664</v>
      </c>
      <c r="C324" s="92">
        <v>23</v>
      </c>
      <c r="D324" s="92">
        <v>8</v>
      </c>
      <c r="G324" s="90">
        <v>38121</v>
      </c>
      <c r="H324" s="91">
        <v>0.041666666666666664</v>
      </c>
      <c r="I324" s="92">
        <v>6</v>
      </c>
      <c r="J324" s="92">
        <v>0</v>
      </c>
      <c r="M324" s="90">
        <v>38121</v>
      </c>
      <c r="N324" s="91">
        <v>0.041666666666666664</v>
      </c>
      <c r="O324" s="92">
        <v>59</v>
      </c>
      <c r="P324" s="92">
        <v>5</v>
      </c>
    </row>
    <row r="325" spans="1:16" ht="12.75">
      <c r="A325" s="83">
        <v>38121</v>
      </c>
      <c r="B325" s="80">
        <v>0.08333333333333333</v>
      </c>
      <c r="C325" s="78">
        <v>29</v>
      </c>
      <c r="D325" s="79">
        <v>0</v>
      </c>
      <c r="G325" s="83">
        <v>38121</v>
      </c>
      <c r="H325" s="80">
        <v>0.08333333333333333</v>
      </c>
      <c r="I325" s="78">
        <v>8</v>
      </c>
      <c r="J325" s="79">
        <v>0</v>
      </c>
      <c r="M325" s="83">
        <v>38121</v>
      </c>
      <c r="N325" s="80">
        <v>0.08333333333333333</v>
      </c>
      <c r="O325" s="78">
        <v>57</v>
      </c>
      <c r="P325" s="79">
        <v>0</v>
      </c>
    </row>
    <row r="326" spans="1:16" ht="12.75">
      <c r="A326" s="83">
        <v>38121</v>
      </c>
      <c r="B326" s="80">
        <v>0.125</v>
      </c>
      <c r="C326" s="78">
        <v>27</v>
      </c>
      <c r="D326" s="79">
        <v>8</v>
      </c>
      <c r="G326" s="83">
        <v>38121</v>
      </c>
      <c r="H326" s="80">
        <v>0.125</v>
      </c>
      <c r="I326" s="78">
        <v>6</v>
      </c>
      <c r="J326" s="79">
        <v>0</v>
      </c>
      <c r="M326" s="83">
        <v>38121</v>
      </c>
      <c r="N326" s="80">
        <v>0.125</v>
      </c>
      <c r="O326" s="78">
        <v>50</v>
      </c>
      <c r="P326" s="79">
        <v>0</v>
      </c>
    </row>
    <row r="327" spans="1:16" ht="12.75">
      <c r="A327" s="83">
        <v>38121</v>
      </c>
      <c r="B327" s="80">
        <v>0.16666666666666666</v>
      </c>
      <c r="C327" s="78">
        <v>25</v>
      </c>
      <c r="D327" s="79">
        <v>8</v>
      </c>
      <c r="G327" s="83">
        <v>38121</v>
      </c>
      <c r="H327" s="80">
        <v>0.16666666666666666</v>
      </c>
      <c r="I327" s="78">
        <v>6</v>
      </c>
      <c r="J327" s="79">
        <v>0</v>
      </c>
      <c r="M327" s="83">
        <v>38121</v>
      </c>
      <c r="N327" s="80">
        <v>0.16666666666666666</v>
      </c>
      <c r="O327" s="78">
        <v>50</v>
      </c>
      <c r="P327" s="79">
        <v>0</v>
      </c>
    </row>
    <row r="328" spans="1:16" ht="12.75">
      <c r="A328" s="83">
        <v>38121</v>
      </c>
      <c r="B328" s="80">
        <v>0.20833333333333334</v>
      </c>
      <c r="C328" s="78">
        <v>32</v>
      </c>
      <c r="D328" s="79">
        <v>8</v>
      </c>
      <c r="G328" s="83">
        <v>38121</v>
      </c>
      <c r="H328" s="80">
        <v>0.20833333333333334</v>
      </c>
      <c r="I328" s="78">
        <v>8</v>
      </c>
      <c r="J328" s="79">
        <v>0</v>
      </c>
      <c r="M328" s="83">
        <v>38121</v>
      </c>
      <c r="N328" s="80">
        <v>0.20833333333333334</v>
      </c>
      <c r="O328" s="78">
        <v>69</v>
      </c>
      <c r="P328" s="79">
        <v>3</v>
      </c>
    </row>
    <row r="329" spans="1:16" ht="12.75">
      <c r="A329" s="83">
        <v>38121</v>
      </c>
      <c r="B329" s="80">
        <v>0.25</v>
      </c>
      <c r="C329" s="78">
        <v>40</v>
      </c>
      <c r="D329" s="79">
        <v>11</v>
      </c>
      <c r="G329" s="83">
        <v>38121</v>
      </c>
      <c r="H329" s="80">
        <v>0.25</v>
      </c>
      <c r="I329" s="78">
        <v>15</v>
      </c>
      <c r="J329" s="79">
        <v>0</v>
      </c>
      <c r="M329" s="83">
        <v>38121</v>
      </c>
      <c r="N329" s="80">
        <v>0.25</v>
      </c>
      <c r="O329" s="78">
        <v>55</v>
      </c>
      <c r="P329" s="79">
        <v>3</v>
      </c>
    </row>
    <row r="330" spans="1:16" ht="12.75">
      <c r="A330" s="83">
        <v>38121</v>
      </c>
      <c r="B330" s="80">
        <v>0.2916666666666667</v>
      </c>
      <c r="C330" s="78">
        <v>48</v>
      </c>
      <c r="D330" s="79">
        <v>13</v>
      </c>
      <c r="G330" s="83">
        <v>38121</v>
      </c>
      <c r="H330" s="80">
        <v>0.2916666666666667</v>
      </c>
      <c r="I330" s="78">
        <v>23</v>
      </c>
      <c r="J330" s="79">
        <v>0</v>
      </c>
      <c r="M330" s="83">
        <v>38121</v>
      </c>
      <c r="N330" s="80">
        <v>0.2916666666666667</v>
      </c>
      <c r="O330" s="78">
        <v>61</v>
      </c>
      <c r="P330" s="79">
        <v>5</v>
      </c>
    </row>
    <row r="331" spans="1:16" ht="12.75">
      <c r="A331" s="83">
        <v>38121</v>
      </c>
      <c r="B331" s="80">
        <v>0.3333333333333333</v>
      </c>
      <c r="C331" s="78">
        <v>32</v>
      </c>
      <c r="D331" s="79">
        <v>11</v>
      </c>
      <c r="G331" s="83">
        <v>38121</v>
      </c>
      <c r="H331" s="80">
        <v>0.3333333333333333</v>
      </c>
      <c r="I331" s="78">
        <v>32</v>
      </c>
      <c r="J331" s="79">
        <v>0</v>
      </c>
      <c r="M331" s="83">
        <v>38121</v>
      </c>
      <c r="N331" s="80">
        <v>0.3333333333333333</v>
      </c>
      <c r="O331" s="78">
        <v>48</v>
      </c>
      <c r="P331" s="79">
        <v>8</v>
      </c>
    </row>
    <row r="332" spans="1:16" ht="12.75">
      <c r="A332" s="83">
        <v>38121</v>
      </c>
      <c r="B332" s="80">
        <v>0.375</v>
      </c>
      <c r="C332" s="78">
        <v>25</v>
      </c>
      <c r="D332" s="79">
        <v>11</v>
      </c>
      <c r="G332" s="83">
        <v>38121</v>
      </c>
      <c r="H332" s="80">
        <v>0.375</v>
      </c>
      <c r="I332" s="78">
        <v>32</v>
      </c>
      <c r="J332" s="79">
        <v>0</v>
      </c>
      <c r="M332" s="83">
        <v>38121</v>
      </c>
      <c r="N332" s="80">
        <v>0.375</v>
      </c>
      <c r="O332" s="78">
        <v>31</v>
      </c>
      <c r="P332" s="79">
        <v>16</v>
      </c>
    </row>
    <row r="333" spans="1:16" ht="12.75">
      <c r="A333" s="83">
        <v>38121</v>
      </c>
      <c r="B333" s="80">
        <v>0.4166666666666667</v>
      </c>
      <c r="C333" s="78">
        <v>21</v>
      </c>
      <c r="D333" s="79">
        <v>11</v>
      </c>
      <c r="G333" s="83">
        <v>38121</v>
      </c>
      <c r="H333" s="80">
        <v>0.4166666666666667</v>
      </c>
      <c r="I333" s="78">
        <v>31</v>
      </c>
      <c r="J333" s="79">
        <v>3</v>
      </c>
      <c r="M333" s="83">
        <v>38121</v>
      </c>
      <c r="N333" s="80">
        <v>0.4166666666666667</v>
      </c>
      <c r="O333" s="78">
        <v>21</v>
      </c>
      <c r="P333" s="79">
        <v>5</v>
      </c>
    </row>
    <row r="334" spans="1:16" ht="12.75">
      <c r="A334" s="83">
        <v>38121</v>
      </c>
      <c r="B334" s="80">
        <v>0.4583333333333333</v>
      </c>
      <c r="C334" s="78">
        <v>23</v>
      </c>
      <c r="D334" s="79">
        <v>11</v>
      </c>
      <c r="G334" s="83">
        <v>38121</v>
      </c>
      <c r="H334" s="80">
        <v>0.4583333333333333</v>
      </c>
      <c r="I334" s="78">
        <v>25</v>
      </c>
      <c r="J334" s="79">
        <v>3</v>
      </c>
      <c r="M334" s="83">
        <v>38121</v>
      </c>
      <c r="N334" s="80">
        <v>0.4583333333333333</v>
      </c>
      <c r="O334" s="78">
        <v>11</v>
      </c>
      <c r="P334" s="79">
        <v>0</v>
      </c>
    </row>
    <row r="335" spans="1:16" ht="12.75">
      <c r="A335" s="83">
        <v>38121</v>
      </c>
      <c r="B335" s="80">
        <v>0.5</v>
      </c>
      <c r="C335" s="78">
        <v>29</v>
      </c>
      <c r="D335" s="79">
        <v>13</v>
      </c>
      <c r="G335" s="83">
        <v>38121</v>
      </c>
      <c r="H335" s="80">
        <v>0.5</v>
      </c>
      <c r="I335" s="78">
        <v>29</v>
      </c>
      <c r="J335" s="79">
        <v>3</v>
      </c>
      <c r="M335" s="83">
        <v>38121</v>
      </c>
      <c r="N335" s="80">
        <v>0.5</v>
      </c>
      <c r="O335" s="78">
        <v>15</v>
      </c>
      <c r="P335" s="79">
        <v>0</v>
      </c>
    </row>
    <row r="336" spans="1:16" ht="12.75">
      <c r="A336" s="83">
        <v>38121</v>
      </c>
      <c r="B336" s="80">
        <v>0.5416666666666666</v>
      </c>
      <c r="C336" s="78">
        <v>27</v>
      </c>
      <c r="D336" s="79">
        <v>11</v>
      </c>
      <c r="G336" s="83">
        <v>38121</v>
      </c>
      <c r="H336" s="80">
        <v>0.5416666666666666</v>
      </c>
      <c r="I336" s="78">
        <v>29</v>
      </c>
      <c r="J336" s="79">
        <v>0</v>
      </c>
      <c r="M336" s="83">
        <v>38121</v>
      </c>
      <c r="N336" s="80">
        <v>0.5416666666666666</v>
      </c>
      <c r="O336" s="78">
        <v>11</v>
      </c>
      <c r="P336" s="79">
        <v>0</v>
      </c>
    </row>
    <row r="337" spans="1:16" ht="12.75">
      <c r="A337" s="83">
        <v>38121</v>
      </c>
      <c r="B337" s="80">
        <v>0.5833333333333334</v>
      </c>
      <c r="C337" s="78">
        <v>40</v>
      </c>
      <c r="D337" s="79">
        <v>11</v>
      </c>
      <c r="G337" s="83">
        <v>38121</v>
      </c>
      <c r="H337" s="80">
        <v>0.5833333333333334</v>
      </c>
      <c r="I337" s="78">
        <v>29</v>
      </c>
      <c r="J337" s="79">
        <v>0</v>
      </c>
      <c r="M337" s="83">
        <v>38121</v>
      </c>
      <c r="N337" s="80">
        <v>0.5833333333333334</v>
      </c>
      <c r="O337" s="78">
        <v>13</v>
      </c>
      <c r="P337" s="79">
        <v>0</v>
      </c>
    </row>
    <row r="338" spans="1:16" ht="12.75">
      <c r="A338" s="83">
        <v>38121</v>
      </c>
      <c r="B338" s="80">
        <v>0.625</v>
      </c>
      <c r="C338" s="78">
        <v>27</v>
      </c>
      <c r="D338" s="79">
        <v>11</v>
      </c>
      <c r="G338" s="83">
        <v>38121</v>
      </c>
      <c r="H338" s="80">
        <v>0.625</v>
      </c>
      <c r="I338" s="78">
        <v>29</v>
      </c>
      <c r="J338" s="79">
        <v>0</v>
      </c>
      <c r="M338" s="83">
        <v>38121</v>
      </c>
      <c r="N338" s="80">
        <v>0.625</v>
      </c>
      <c r="O338" s="78">
        <v>13</v>
      </c>
      <c r="P338" s="79">
        <v>0</v>
      </c>
    </row>
    <row r="339" spans="1:16" ht="12.75">
      <c r="A339" s="83">
        <v>38121</v>
      </c>
      <c r="B339" s="80">
        <v>0.6666666666666666</v>
      </c>
      <c r="C339" s="78">
        <v>25</v>
      </c>
      <c r="D339" s="79">
        <v>11</v>
      </c>
      <c r="G339" s="83">
        <v>38121</v>
      </c>
      <c r="H339" s="80">
        <v>0.6666666666666666</v>
      </c>
      <c r="I339" s="78">
        <v>36</v>
      </c>
      <c r="J339" s="79">
        <v>0</v>
      </c>
      <c r="M339" s="83">
        <v>38121</v>
      </c>
      <c r="N339" s="80">
        <v>0.6666666666666666</v>
      </c>
      <c r="O339" s="78">
        <v>13</v>
      </c>
      <c r="P339" s="79">
        <v>0</v>
      </c>
    </row>
    <row r="340" spans="1:16" ht="12.75">
      <c r="A340" s="83">
        <v>38121</v>
      </c>
      <c r="B340" s="80">
        <v>0.7083333333333334</v>
      </c>
      <c r="C340" s="78">
        <v>46</v>
      </c>
      <c r="D340" s="79">
        <v>27</v>
      </c>
      <c r="G340" s="83">
        <v>38121</v>
      </c>
      <c r="H340" s="80">
        <v>0.7083333333333334</v>
      </c>
      <c r="I340" s="78">
        <v>32</v>
      </c>
      <c r="J340" s="79">
        <v>0</v>
      </c>
      <c r="M340" s="83">
        <v>38121</v>
      </c>
      <c r="N340" s="80">
        <v>0.7083333333333334</v>
      </c>
      <c r="O340" s="78">
        <v>17</v>
      </c>
      <c r="P340" s="79">
        <v>0</v>
      </c>
    </row>
    <row r="341" spans="1:16" ht="12.75">
      <c r="A341" s="83">
        <v>38121</v>
      </c>
      <c r="B341" s="80">
        <v>0.75</v>
      </c>
      <c r="C341" s="78">
        <v>40</v>
      </c>
      <c r="D341" s="79">
        <v>29</v>
      </c>
      <c r="G341" s="83">
        <v>38121</v>
      </c>
      <c r="H341" s="80">
        <v>0.75</v>
      </c>
      <c r="I341" s="78">
        <v>27</v>
      </c>
      <c r="J341" s="79">
        <v>0</v>
      </c>
      <c r="M341" s="83">
        <v>38121</v>
      </c>
      <c r="N341" s="80">
        <v>0.75</v>
      </c>
      <c r="O341" s="78">
        <v>17</v>
      </c>
      <c r="P341" s="79">
        <v>0</v>
      </c>
    </row>
    <row r="342" spans="1:16" ht="12.75">
      <c r="A342" s="83">
        <v>38121</v>
      </c>
      <c r="B342" s="80">
        <v>0.7916666666666666</v>
      </c>
      <c r="C342" s="78">
        <v>31</v>
      </c>
      <c r="D342" s="79">
        <v>24</v>
      </c>
      <c r="G342" s="83">
        <v>38121</v>
      </c>
      <c r="H342" s="80">
        <v>0.7916666666666666</v>
      </c>
      <c r="I342" s="78">
        <v>29</v>
      </c>
      <c r="J342" s="79">
        <v>0</v>
      </c>
      <c r="M342" s="83">
        <v>38121</v>
      </c>
      <c r="N342" s="80">
        <v>0.7916666666666666</v>
      </c>
      <c r="O342" s="78">
        <v>15</v>
      </c>
      <c r="P342" s="79">
        <v>0</v>
      </c>
    </row>
    <row r="343" spans="1:16" ht="12.75">
      <c r="A343" s="83">
        <v>38121</v>
      </c>
      <c r="B343" s="80">
        <v>0.8333333333333334</v>
      </c>
      <c r="C343" s="78">
        <v>23</v>
      </c>
      <c r="D343" s="79">
        <v>11</v>
      </c>
      <c r="G343" s="83">
        <v>38121</v>
      </c>
      <c r="H343" s="80">
        <v>0.8333333333333334</v>
      </c>
      <c r="I343" s="78">
        <v>29</v>
      </c>
      <c r="J343" s="79">
        <v>0</v>
      </c>
      <c r="M343" s="83">
        <v>38121</v>
      </c>
      <c r="N343" s="80">
        <v>0.8333333333333334</v>
      </c>
      <c r="O343" s="78">
        <v>38</v>
      </c>
      <c r="P343" s="79">
        <v>0</v>
      </c>
    </row>
    <row r="344" spans="1:16" ht="12.75">
      <c r="A344" s="83">
        <v>38121</v>
      </c>
      <c r="B344" s="80">
        <v>0.875</v>
      </c>
      <c r="C344" s="78">
        <v>31</v>
      </c>
      <c r="D344" s="79">
        <v>11</v>
      </c>
      <c r="G344" s="83">
        <v>38121</v>
      </c>
      <c r="H344" s="80">
        <v>0.875</v>
      </c>
      <c r="I344" s="78">
        <v>17</v>
      </c>
      <c r="J344" s="79">
        <v>0</v>
      </c>
      <c r="M344" s="83">
        <v>38121</v>
      </c>
      <c r="N344" s="80">
        <v>0.875</v>
      </c>
      <c r="O344" s="78">
        <v>65</v>
      </c>
      <c r="P344" s="79">
        <v>3</v>
      </c>
    </row>
    <row r="345" spans="1:16" ht="12.75">
      <c r="A345" s="83">
        <v>38121</v>
      </c>
      <c r="B345" s="80">
        <v>0.9166666666666666</v>
      </c>
      <c r="C345" s="78">
        <v>46</v>
      </c>
      <c r="D345" s="79">
        <v>11</v>
      </c>
      <c r="G345" s="83">
        <v>38121</v>
      </c>
      <c r="H345" s="80">
        <v>0.9166666666666666</v>
      </c>
      <c r="I345" s="78">
        <v>17</v>
      </c>
      <c r="J345" s="79">
        <v>0</v>
      </c>
      <c r="M345" s="83">
        <v>38121</v>
      </c>
      <c r="N345" s="80">
        <v>0.9166666666666666</v>
      </c>
      <c r="O345" s="78">
        <v>59</v>
      </c>
      <c r="P345" s="79">
        <v>3</v>
      </c>
    </row>
    <row r="346" spans="1:16" ht="12.75">
      <c r="A346" s="83">
        <v>38121</v>
      </c>
      <c r="B346" s="80">
        <v>0.9583333333333334</v>
      </c>
      <c r="C346" s="78">
        <v>44</v>
      </c>
      <c r="D346" s="79">
        <v>11</v>
      </c>
      <c r="G346" s="83">
        <v>38121</v>
      </c>
      <c r="H346" s="80">
        <v>0.9583333333333334</v>
      </c>
      <c r="I346" s="78">
        <v>15</v>
      </c>
      <c r="J346" s="79">
        <v>0</v>
      </c>
      <c r="M346" s="83">
        <v>38121</v>
      </c>
      <c r="N346" s="80">
        <v>0.9583333333333334</v>
      </c>
      <c r="O346" s="78">
        <v>57</v>
      </c>
      <c r="P346" s="79">
        <v>3</v>
      </c>
    </row>
    <row r="347" spans="1:16" ht="12.75">
      <c r="A347" s="83">
        <v>38121</v>
      </c>
      <c r="B347" s="81">
        <v>1</v>
      </c>
      <c r="C347" s="78">
        <v>38</v>
      </c>
      <c r="D347" s="79">
        <v>11</v>
      </c>
      <c r="G347" s="83">
        <v>38121</v>
      </c>
      <c r="H347" s="81">
        <v>1</v>
      </c>
      <c r="I347" s="78">
        <v>10</v>
      </c>
      <c r="J347" s="79">
        <v>0</v>
      </c>
      <c r="M347" s="83">
        <v>38121</v>
      </c>
      <c r="N347" s="81">
        <v>1</v>
      </c>
      <c r="O347" s="78">
        <v>53</v>
      </c>
      <c r="P347" s="79">
        <v>3</v>
      </c>
    </row>
    <row r="348" spans="1:16" s="92" customFormat="1" ht="12.75">
      <c r="A348" s="90">
        <v>38122</v>
      </c>
      <c r="B348" s="91">
        <v>0.041666666666666664</v>
      </c>
      <c r="C348" s="92">
        <v>40</v>
      </c>
      <c r="D348" s="92">
        <v>3</v>
      </c>
      <c r="G348" s="90">
        <v>38122</v>
      </c>
      <c r="H348" s="91">
        <v>0.041666666666666664</v>
      </c>
      <c r="I348" s="92">
        <v>6</v>
      </c>
      <c r="J348" s="92">
        <v>0</v>
      </c>
      <c r="M348" s="90">
        <v>38122</v>
      </c>
      <c r="N348" s="91">
        <v>0.041666666666666664</v>
      </c>
      <c r="O348" s="92">
        <v>46</v>
      </c>
      <c r="P348" s="92">
        <v>0</v>
      </c>
    </row>
    <row r="349" spans="1:16" ht="12.75">
      <c r="A349" s="83">
        <v>38122</v>
      </c>
      <c r="B349" s="80">
        <v>0.08333333333333333</v>
      </c>
      <c r="C349" s="78">
        <v>42</v>
      </c>
      <c r="D349" s="79">
        <v>3</v>
      </c>
      <c r="G349" s="83">
        <v>38122</v>
      </c>
      <c r="H349" s="80">
        <v>0.08333333333333333</v>
      </c>
      <c r="I349" s="78">
        <v>8</v>
      </c>
      <c r="J349" s="79">
        <v>0</v>
      </c>
      <c r="M349" s="83">
        <v>38122</v>
      </c>
      <c r="N349" s="80">
        <v>0.08333333333333333</v>
      </c>
      <c r="O349" s="78">
        <v>55</v>
      </c>
      <c r="P349" s="79">
        <v>3</v>
      </c>
    </row>
    <row r="350" spans="1:16" ht="12.75">
      <c r="A350" s="83">
        <v>38122</v>
      </c>
      <c r="B350" s="80">
        <v>0.125</v>
      </c>
      <c r="C350" s="78">
        <v>42</v>
      </c>
      <c r="D350" s="79">
        <v>3</v>
      </c>
      <c r="G350" s="83">
        <v>38122</v>
      </c>
      <c r="H350" s="80">
        <v>0.125</v>
      </c>
      <c r="I350" s="78">
        <v>4</v>
      </c>
      <c r="J350" s="79">
        <v>0</v>
      </c>
      <c r="M350" s="83">
        <v>38122</v>
      </c>
      <c r="N350" s="80">
        <v>0.125</v>
      </c>
      <c r="O350" s="78">
        <v>44</v>
      </c>
      <c r="P350" s="79">
        <v>0</v>
      </c>
    </row>
    <row r="351" spans="1:16" ht="12.75">
      <c r="A351" s="83">
        <v>38122</v>
      </c>
      <c r="B351" s="80">
        <v>0.16666666666666666</v>
      </c>
      <c r="C351" s="78">
        <v>38</v>
      </c>
      <c r="D351" s="79">
        <v>3</v>
      </c>
      <c r="G351" s="83">
        <v>38122</v>
      </c>
      <c r="H351" s="80">
        <v>0.16666666666666666</v>
      </c>
      <c r="I351" s="78">
        <v>2</v>
      </c>
      <c r="J351" s="79">
        <v>0</v>
      </c>
      <c r="M351" s="83">
        <v>38122</v>
      </c>
      <c r="N351" s="80">
        <v>0.16666666666666666</v>
      </c>
      <c r="O351" s="78">
        <v>36</v>
      </c>
      <c r="P351" s="79">
        <v>0</v>
      </c>
    </row>
    <row r="352" spans="1:16" ht="12.75">
      <c r="A352" s="83">
        <v>38122</v>
      </c>
      <c r="B352" s="80">
        <v>0.20833333333333334</v>
      </c>
      <c r="C352" s="78">
        <v>31</v>
      </c>
      <c r="D352" s="79">
        <v>3</v>
      </c>
      <c r="G352" s="83">
        <v>38122</v>
      </c>
      <c r="H352" s="80">
        <v>0.20833333333333334</v>
      </c>
      <c r="I352" s="78">
        <v>2</v>
      </c>
      <c r="J352" s="79">
        <v>0</v>
      </c>
      <c r="M352" s="83">
        <v>38122</v>
      </c>
      <c r="N352" s="80">
        <v>0.20833333333333334</v>
      </c>
      <c r="O352" s="78">
        <v>36</v>
      </c>
      <c r="P352" s="79">
        <v>0</v>
      </c>
    </row>
    <row r="353" spans="1:16" ht="12.75">
      <c r="A353" s="83">
        <v>38122</v>
      </c>
      <c r="B353" s="80">
        <v>0.25</v>
      </c>
      <c r="C353" s="78">
        <v>27</v>
      </c>
      <c r="D353" s="79">
        <v>3</v>
      </c>
      <c r="G353" s="83">
        <v>38122</v>
      </c>
      <c r="H353" s="80">
        <v>0.25</v>
      </c>
      <c r="I353" s="78">
        <v>4</v>
      </c>
      <c r="J353" s="79">
        <v>0</v>
      </c>
      <c r="M353" s="83">
        <v>38122</v>
      </c>
      <c r="N353" s="80">
        <v>0.25</v>
      </c>
      <c r="O353" s="78">
        <v>36</v>
      </c>
      <c r="P353" s="79">
        <v>3</v>
      </c>
    </row>
    <row r="354" spans="1:16" ht="12.75">
      <c r="A354" s="83">
        <v>38122</v>
      </c>
      <c r="B354" s="80">
        <v>0.2916666666666667</v>
      </c>
      <c r="C354" s="78">
        <v>31</v>
      </c>
      <c r="D354" s="79">
        <v>3</v>
      </c>
      <c r="G354" s="83">
        <v>38122</v>
      </c>
      <c r="H354" s="80">
        <v>0.2916666666666667</v>
      </c>
      <c r="I354" s="78">
        <v>11</v>
      </c>
      <c r="J354" s="79">
        <v>0</v>
      </c>
      <c r="M354" s="83">
        <v>38122</v>
      </c>
      <c r="N354" s="80">
        <v>0.2916666666666667</v>
      </c>
      <c r="O354" s="78">
        <v>36</v>
      </c>
      <c r="P354" s="79">
        <v>8</v>
      </c>
    </row>
    <row r="355" spans="1:16" ht="12.75">
      <c r="A355" s="83">
        <v>38122</v>
      </c>
      <c r="B355" s="80">
        <v>0.3333333333333333</v>
      </c>
      <c r="C355" s="78">
        <v>21</v>
      </c>
      <c r="D355" s="79">
        <v>3</v>
      </c>
      <c r="G355" s="83">
        <v>38122</v>
      </c>
      <c r="H355" s="80">
        <v>0.3333333333333333</v>
      </c>
      <c r="I355" s="78">
        <v>17</v>
      </c>
      <c r="J355" s="79">
        <v>0</v>
      </c>
      <c r="M355" s="83">
        <v>38122</v>
      </c>
      <c r="N355" s="80">
        <v>0.3333333333333333</v>
      </c>
      <c r="O355" s="78">
        <v>32</v>
      </c>
      <c r="P355" s="79">
        <v>16</v>
      </c>
    </row>
    <row r="356" spans="1:16" ht="12.75">
      <c r="A356" s="83">
        <v>38122</v>
      </c>
      <c r="B356" s="80">
        <v>0.375</v>
      </c>
      <c r="C356" s="78">
        <v>11</v>
      </c>
      <c r="D356" s="79">
        <v>5</v>
      </c>
      <c r="G356" s="83">
        <v>38122</v>
      </c>
      <c r="H356" s="80">
        <v>0.375</v>
      </c>
      <c r="I356" s="78">
        <v>17</v>
      </c>
      <c r="J356" s="79">
        <v>0</v>
      </c>
      <c r="M356" s="83">
        <v>38122</v>
      </c>
      <c r="N356" s="80">
        <v>0.375</v>
      </c>
      <c r="O356" s="78">
        <v>29</v>
      </c>
      <c r="P356" s="79">
        <v>16</v>
      </c>
    </row>
    <row r="357" spans="1:16" ht="12.75">
      <c r="A357" s="83">
        <v>38122</v>
      </c>
      <c r="B357" s="80">
        <v>0.4166666666666667</v>
      </c>
      <c r="C357" s="78">
        <v>13</v>
      </c>
      <c r="D357" s="79">
        <v>5</v>
      </c>
      <c r="G357" s="83">
        <v>38122</v>
      </c>
      <c r="H357" s="80">
        <v>0.4166666666666667</v>
      </c>
      <c r="I357" s="78">
        <v>21</v>
      </c>
      <c r="J357" s="79">
        <v>0</v>
      </c>
      <c r="M357" s="83">
        <v>38122</v>
      </c>
      <c r="N357" s="80">
        <v>0.4166666666666667</v>
      </c>
      <c r="O357" s="78">
        <v>21</v>
      </c>
      <c r="P357" s="79">
        <v>5</v>
      </c>
    </row>
    <row r="358" spans="1:16" ht="12.75">
      <c r="A358" s="83">
        <v>38122</v>
      </c>
      <c r="B358" s="80">
        <v>0.4583333333333333</v>
      </c>
      <c r="C358" s="78">
        <v>10</v>
      </c>
      <c r="D358" s="79">
        <v>5</v>
      </c>
      <c r="G358" s="83">
        <v>38122</v>
      </c>
      <c r="H358" s="80">
        <v>0.4583333333333333</v>
      </c>
      <c r="I358" s="78">
        <v>19</v>
      </c>
      <c r="J358" s="79">
        <v>0</v>
      </c>
      <c r="M358" s="83">
        <v>38122</v>
      </c>
      <c r="N358" s="80">
        <v>0.4583333333333333</v>
      </c>
      <c r="O358" s="78">
        <v>17</v>
      </c>
      <c r="P358" s="79">
        <v>5</v>
      </c>
    </row>
    <row r="359" spans="1:16" ht="12.75">
      <c r="A359" s="83">
        <v>38122</v>
      </c>
      <c r="B359" s="80">
        <v>0.5</v>
      </c>
      <c r="C359" s="78">
        <v>11</v>
      </c>
      <c r="D359" s="79">
        <v>5</v>
      </c>
      <c r="G359" s="83">
        <v>38122</v>
      </c>
      <c r="H359" s="80">
        <v>0.5</v>
      </c>
      <c r="I359" s="78">
        <v>13</v>
      </c>
      <c r="J359" s="79">
        <v>0</v>
      </c>
      <c r="M359" s="83">
        <v>38122</v>
      </c>
      <c r="N359" s="80">
        <v>0.5</v>
      </c>
      <c r="O359" s="78">
        <v>11</v>
      </c>
      <c r="P359" s="79">
        <v>3</v>
      </c>
    </row>
    <row r="360" spans="1:16" ht="12.75">
      <c r="A360" s="83">
        <v>38122</v>
      </c>
      <c r="B360" s="80">
        <v>0.5416666666666666</v>
      </c>
      <c r="C360" s="78">
        <v>10</v>
      </c>
      <c r="D360" s="79">
        <v>3</v>
      </c>
      <c r="G360" s="83">
        <v>38122</v>
      </c>
      <c r="H360" s="80">
        <v>0.5416666666666666</v>
      </c>
      <c r="I360" s="78">
        <v>13</v>
      </c>
      <c r="J360" s="79">
        <v>0</v>
      </c>
      <c r="M360" s="83">
        <v>38122</v>
      </c>
      <c r="N360" s="80">
        <v>0.5416666666666666</v>
      </c>
      <c r="O360" s="78">
        <v>6</v>
      </c>
      <c r="P360" s="79">
        <v>0</v>
      </c>
    </row>
    <row r="361" spans="1:16" ht="12.75">
      <c r="A361" s="83">
        <v>38122</v>
      </c>
      <c r="B361" s="80">
        <v>0.5833333333333334</v>
      </c>
      <c r="C361" s="78">
        <v>6</v>
      </c>
      <c r="D361" s="79">
        <v>3</v>
      </c>
      <c r="G361" s="83">
        <v>38122</v>
      </c>
      <c r="H361" s="80">
        <v>0.5833333333333334</v>
      </c>
      <c r="I361" s="78">
        <v>11</v>
      </c>
      <c r="J361" s="79">
        <v>0</v>
      </c>
      <c r="M361" s="83">
        <v>38122</v>
      </c>
      <c r="N361" s="80">
        <v>0.5833333333333334</v>
      </c>
      <c r="O361" s="78">
        <v>6</v>
      </c>
      <c r="P361" s="79">
        <v>0</v>
      </c>
    </row>
    <row r="362" spans="1:16" ht="12.75">
      <c r="A362" s="83">
        <v>38122</v>
      </c>
      <c r="B362" s="80">
        <v>0.625</v>
      </c>
      <c r="C362" s="78">
        <v>8</v>
      </c>
      <c r="D362" s="79">
        <v>0</v>
      </c>
      <c r="G362" s="83">
        <v>38122</v>
      </c>
      <c r="H362" s="80">
        <v>0.625</v>
      </c>
      <c r="I362" s="78">
        <v>13</v>
      </c>
      <c r="J362" s="79">
        <v>0</v>
      </c>
      <c r="M362" s="83">
        <v>38122</v>
      </c>
      <c r="N362" s="80">
        <v>0.625</v>
      </c>
      <c r="O362" s="78">
        <v>4</v>
      </c>
      <c r="P362" s="79">
        <v>0</v>
      </c>
    </row>
    <row r="363" spans="1:16" ht="12.75">
      <c r="A363" s="83">
        <v>38122</v>
      </c>
      <c r="B363" s="80">
        <v>0.6666666666666666</v>
      </c>
      <c r="C363" s="78">
        <v>13</v>
      </c>
      <c r="D363" s="79">
        <v>3</v>
      </c>
      <c r="G363" s="83">
        <v>38122</v>
      </c>
      <c r="H363" s="80">
        <v>0.6666666666666666</v>
      </c>
      <c r="I363" s="78">
        <v>13</v>
      </c>
      <c r="J363" s="79">
        <v>0</v>
      </c>
      <c r="M363" s="83">
        <v>38122</v>
      </c>
      <c r="N363" s="80">
        <v>0.6666666666666666</v>
      </c>
      <c r="O363" s="78">
        <v>6</v>
      </c>
      <c r="P363" s="79">
        <v>0</v>
      </c>
    </row>
    <row r="364" spans="1:16" ht="12.75">
      <c r="A364" s="83">
        <v>38122</v>
      </c>
      <c r="B364" s="80">
        <v>0.7083333333333334</v>
      </c>
      <c r="C364" s="78">
        <v>27</v>
      </c>
      <c r="D364" s="79">
        <v>3</v>
      </c>
      <c r="G364" s="83">
        <v>38122</v>
      </c>
      <c r="H364" s="80">
        <v>0.7083333333333334</v>
      </c>
      <c r="I364" s="78">
        <v>15</v>
      </c>
      <c r="J364" s="79">
        <v>0</v>
      </c>
      <c r="M364" s="83">
        <v>38122</v>
      </c>
      <c r="N364" s="80">
        <v>0.7083333333333334</v>
      </c>
      <c r="O364" s="78">
        <v>6</v>
      </c>
      <c r="P364" s="79">
        <v>0</v>
      </c>
    </row>
    <row r="365" spans="1:16" ht="12.75">
      <c r="A365" s="83">
        <v>38122</v>
      </c>
      <c r="B365" s="80">
        <v>0.75</v>
      </c>
      <c r="C365" s="78">
        <v>11</v>
      </c>
      <c r="D365" s="79">
        <v>3</v>
      </c>
      <c r="G365" s="83">
        <v>38122</v>
      </c>
      <c r="H365" s="80">
        <v>0.75</v>
      </c>
      <c r="I365" s="78">
        <v>17</v>
      </c>
      <c r="J365" s="79">
        <v>0</v>
      </c>
      <c r="M365" s="83">
        <v>38122</v>
      </c>
      <c r="N365" s="80">
        <v>0.75</v>
      </c>
      <c r="O365" s="78">
        <v>8</v>
      </c>
      <c r="P365" s="79">
        <v>0</v>
      </c>
    </row>
    <row r="366" spans="1:16" ht="12.75">
      <c r="A366" s="83">
        <v>38122</v>
      </c>
      <c r="B366" s="80">
        <v>0.7916666666666666</v>
      </c>
      <c r="C366" s="78">
        <v>27</v>
      </c>
      <c r="D366" s="79">
        <v>3</v>
      </c>
      <c r="G366" s="83">
        <v>38122</v>
      </c>
      <c r="H366" s="80">
        <v>0.7916666666666666</v>
      </c>
      <c r="I366" s="78">
        <v>19</v>
      </c>
      <c r="J366" s="79">
        <v>0</v>
      </c>
      <c r="M366" s="83">
        <v>38122</v>
      </c>
      <c r="N366" s="80">
        <v>0.7916666666666666</v>
      </c>
      <c r="O366" s="78">
        <v>10</v>
      </c>
      <c r="P366" s="79">
        <v>0</v>
      </c>
    </row>
    <row r="367" spans="1:16" ht="12.75">
      <c r="A367" s="83">
        <v>38122</v>
      </c>
      <c r="B367" s="80">
        <v>0.8333333333333334</v>
      </c>
      <c r="C367" s="78">
        <v>38</v>
      </c>
      <c r="D367" s="79">
        <v>5</v>
      </c>
      <c r="G367" s="83">
        <v>38122</v>
      </c>
      <c r="H367" s="80">
        <v>0.8333333333333334</v>
      </c>
      <c r="I367" s="78">
        <v>17</v>
      </c>
      <c r="J367" s="79">
        <v>0</v>
      </c>
      <c r="M367" s="83">
        <v>38122</v>
      </c>
      <c r="N367" s="80">
        <v>0.8333333333333334</v>
      </c>
      <c r="O367" s="78">
        <v>17</v>
      </c>
      <c r="P367" s="79">
        <v>0</v>
      </c>
    </row>
    <row r="368" spans="1:16" ht="12.75">
      <c r="A368" s="83">
        <v>38122</v>
      </c>
      <c r="B368" s="80">
        <v>0.875</v>
      </c>
      <c r="C368" s="78">
        <v>31</v>
      </c>
      <c r="D368" s="79">
        <v>3</v>
      </c>
      <c r="G368" s="83">
        <v>38122</v>
      </c>
      <c r="H368" s="80">
        <v>0.875</v>
      </c>
      <c r="I368" s="78">
        <v>23</v>
      </c>
      <c r="J368" s="79">
        <v>0</v>
      </c>
      <c r="M368" s="83">
        <v>38122</v>
      </c>
      <c r="N368" s="80">
        <v>0.875</v>
      </c>
      <c r="O368" s="78">
        <v>38</v>
      </c>
      <c r="P368" s="79">
        <v>0</v>
      </c>
    </row>
    <row r="369" spans="1:16" ht="12.75">
      <c r="A369" s="83">
        <v>38122</v>
      </c>
      <c r="B369" s="80">
        <v>0.9166666666666666</v>
      </c>
      <c r="C369" s="78">
        <v>32</v>
      </c>
      <c r="D369" s="79">
        <v>3</v>
      </c>
      <c r="G369" s="83">
        <v>38122</v>
      </c>
      <c r="H369" s="80">
        <v>0.9166666666666666</v>
      </c>
      <c r="I369" s="78">
        <v>29</v>
      </c>
      <c r="J369" s="79">
        <v>0</v>
      </c>
      <c r="M369" s="83">
        <v>38122</v>
      </c>
      <c r="N369" s="80">
        <v>0.9166666666666666</v>
      </c>
      <c r="O369" s="78">
        <v>55</v>
      </c>
      <c r="P369" s="79">
        <v>3</v>
      </c>
    </row>
    <row r="370" spans="1:16" ht="12.75">
      <c r="A370" s="83">
        <v>38122</v>
      </c>
      <c r="B370" s="80">
        <v>0.9583333333333334</v>
      </c>
      <c r="C370" s="78">
        <v>42</v>
      </c>
      <c r="D370" s="79">
        <v>3</v>
      </c>
      <c r="G370" s="83">
        <v>38122</v>
      </c>
      <c r="H370" s="80">
        <v>0.9583333333333334</v>
      </c>
      <c r="I370" s="78">
        <v>27</v>
      </c>
      <c r="J370" s="79">
        <v>0</v>
      </c>
      <c r="M370" s="83">
        <v>38122</v>
      </c>
      <c r="N370" s="80">
        <v>0.9583333333333334</v>
      </c>
      <c r="O370" s="78">
        <v>53</v>
      </c>
      <c r="P370" s="79">
        <v>0</v>
      </c>
    </row>
    <row r="371" spans="1:16" ht="12.75">
      <c r="A371" s="83">
        <v>38122</v>
      </c>
      <c r="B371" s="81">
        <v>1</v>
      </c>
      <c r="C371" s="78">
        <v>42</v>
      </c>
      <c r="D371" s="79">
        <v>3</v>
      </c>
      <c r="G371" s="83">
        <v>38122</v>
      </c>
      <c r="H371" s="81">
        <v>1</v>
      </c>
      <c r="I371" s="78">
        <v>15</v>
      </c>
      <c r="J371" s="79">
        <v>0</v>
      </c>
      <c r="M371" s="83">
        <v>38122</v>
      </c>
      <c r="N371" s="81">
        <v>1</v>
      </c>
      <c r="O371" s="78">
        <v>46</v>
      </c>
      <c r="P371" s="79">
        <v>0</v>
      </c>
    </row>
    <row r="372" spans="1:16" s="92" customFormat="1" ht="12.75">
      <c r="A372" s="90">
        <v>38123</v>
      </c>
      <c r="B372" s="91">
        <v>0.041666666666666664</v>
      </c>
      <c r="C372" s="92">
        <v>29</v>
      </c>
      <c r="D372" s="92">
        <v>3</v>
      </c>
      <c r="G372" s="90">
        <v>38123</v>
      </c>
      <c r="H372" s="91">
        <v>0.041666666666666664</v>
      </c>
      <c r="I372" s="92">
        <v>10</v>
      </c>
      <c r="J372" s="92">
        <v>0</v>
      </c>
      <c r="M372" s="90">
        <v>38123</v>
      </c>
      <c r="N372" s="91">
        <v>0.041666666666666664</v>
      </c>
      <c r="O372" s="92">
        <v>42</v>
      </c>
      <c r="P372" s="92">
        <v>0</v>
      </c>
    </row>
    <row r="373" spans="1:16" ht="12.75">
      <c r="A373" s="83">
        <v>38123</v>
      </c>
      <c r="B373" s="80">
        <v>0.08333333333333333</v>
      </c>
      <c r="C373" s="78">
        <v>40</v>
      </c>
      <c r="D373" s="79">
        <v>3</v>
      </c>
      <c r="G373" s="83">
        <v>38123</v>
      </c>
      <c r="H373" s="80">
        <v>0.08333333333333333</v>
      </c>
      <c r="I373" s="78">
        <v>17</v>
      </c>
      <c r="J373" s="79">
        <v>0</v>
      </c>
      <c r="M373" s="83">
        <v>38123</v>
      </c>
      <c r="N373" s="80">
        <v>0.08333333333333333</v>
      </c>
      <c r="O373" s="78">
        <v>46</v>
      </c>
      <c r="P373" s="79">
        <v>3</v>
      </c>
    </row>
    <row r="374" spans="1:16" ht="12.75">
      <c r="A374" s="83">
        <v>38123</v>
      </c>
      <c r="B374" s="80">
        <v>0.125</v>
      </c>
      <c r="C374" s="78">
        <v>32</v>
      </c>
      <c r="D374" s="79">
        <v>3</v>
      </c>
      <c r="G374" s="83">
        <v>38123</v>
      </c>
      <c r="H374" s="80">
        <v>0.125</v>
      </c>
      <c r="I374" s="78">
        <v>8</v>
      </c>
      <c r="J374" s="79">
        <v>0</v>
      </c>
      <c r="M374" s="83">
        <v>38123</v>
      </c>
      <c r="N374" s="80">
        <v>0.125</v>
      </c>
      <c r="O374" s="78">
        <v>36</v>
      </c>
      <c r="P374" s="79">
        <v>0</v>
      </c>
    </row>
    <row r="375" spans="1:16" ht="12.75">
      <c r="A375" s="83">
        <v>38123</v>
      </c>
      <c r="B375" s="80">
        <v>0.16666666666666666</v>
      </c>
      <c r="C375" s="78">
        <v>40</v>
      </c>
      <c r="D375" s="79">
        <v>3</v>
      </c>
      <c r="G375" s="83">
        <v>38123</v>
      </c>
      <c r="H375" s="80">
        <v>0.16666666666666666</v>
      </c>
      <c r="I375" s="78">
        <v>6</v>
      </c>
      <c r="J375" s="79">
        <v>0</v>
      </c>
      <c r="M375" s="83">
        <v>38123</v>
      </c>
      <c r="N375" s="80">
        <v>0.16666666666666666</v>
      </c>
      <c r="O375" s="78">
        <v>34</v>
      </c>
      <c r="P375" s="79">
        <v>0</v>
      </c>
    </row>
    <row r="376" spans="1:16" ht="12.75">
      <c r="A376" s="83">
        <v>38123</v>
      </c>
      <c r="B376" s="80">
        <v>0.20833333333333334</v>
      </c>
      <c r="C376" s="78">
        <v>34</v>
      </c>
      <c r="D376" s="79">
        <v>3</v>
      </c>
      <c r="G376" s="83">
        <v>38123</v>
      </c>
      <c r="H376" s="80">
        <v>0.20833333333333334</v>
      </c>
      <c r="I376" s="78">
        <v>4</v>
      </c>
      <c r="J376" s="79">
        <v>0</v>
      </c>
      <c r="M376" s="83">
        <v>38123</v>
      </c>
      <c r="N376" s="80">
        <v>0.20833333333333334</v>
      </c>
      <c r="O376" s="78">
        <v>32</v>
      </c>
      <c r="P376" s="79">
        <v>3</v>
      </c>
    </row>
    <row r="377" spans="1:16" ht="12.75">
      <c r="A377" s="83">
        <v>38123</v>
      </c>
      <c r="B377" s="80">
        <v>0.25</v>
      </c>
      <c r="C377" s="78">
        <v>25</v>
      </c>
      <c r="D377" s="79">
        <v>3</v>
      </c>
      <c r="G377" s="83">
        <v>38123</v>
      </c>
      <c r="H377" s="80">
        <v>0.25</v>
      </c>
      <c r="I377" s="78">
        <v>6</v>
      </c>
      <c r="J377" s="79">
        <v>0</v>
      </c>
      <c r="M377" s="83">
        <v>38123</v>
      </c>
      <c r="N377" s="80">
        <v>0.25</v>
      </c>
      <c r="O377" s="78">
        <v>31</v>
      </c>
      <c r="P377" s="79">
        <v>3</v>
      </c>
    </row>
    <row r="378" spans="1:16" ht="12.75">
      <c r="A378" s="83">
        <v>38123</v>
      </c>
      <c r="B378" s="80">
        <v>0.2916666666666667</v>
      </c>
      <c r="C378" s="78">
        <v>15</v>
      </c>
      <c r="D378" s="79">
        <v>3</v>
      </c>
      <c r="G378" s="83">
        <v>38123</v>
      </c>
      <c r="H378" s="80">
        <v>0.2916666666666667</v>
      </c>
      <c r="I378" s="78">
        <v>6</v>
      </c>
      <c r="J378" s="79">
        <v>0</v>
      </c>
      <c r="M378" s="83">
        <v>38123</v>
      </c>
      <c r="N378" s="80">
        <v>0.2916666666666667</v>
      </c>
      <c r="O378" s="78">
        <v>29</v>
      </c>
      <c r="P378" s="79">
        <v>3</v>
      </c>
    </row>
    <row r="379" spans="1:16" ht="12.75">
      <c r="A379" s="83">
        <v>38123</v>
      </c>
      <c r="B379" s="80">
        <v>0.3333333333333333</v>
      </c>
      <c r="C379" s="78">
        <v>19</v>
      </c>
      <c r="D379" s="79">
        <v>3</v>
      </c>
      <c r="G379" s="83">
        <v>38123</v>
      </c>
      <c r="H379" s="80">
        <v>0.3333333333333333</v>
      </c>
      <c r="I379" s="78">
        <v>4</v>
      </c>
      <c r="J379" s="79">
        <v>0</v>
      </c>
      <c r="M379" s="83">
        <v>38123</v>
      </c>
      <c r="N379" s="80">
        <v>0.3333333333333333</v>
      </c>
      <c r="O379" s="78">
        <v>25</v>
      </c>
      <c r="P379" s="79">
        <v>3</v>
      </c>
    </row>
    <row r="380" spans="1:16" ht="12.75">
      <c r="A380" s="83">
        <v>38123</v>
      </c>
      <c r="B380" s="80">
        <v>0.375</v>
      </c>
      <c r="C380" s="78">
        <v>10</v>
      </c>
      <c r="D380" s="79">
        <v>3</v>
      </c>
      <c r="G380" s="83">
        <v>38123</v>
      </c>
      <c r="H380" s="80">
        <v>0.375</v>
      </c>
      <c r="I380" s="78">
        <v>6</v>
      </c>
      <c r="J380" s="79">
        <v>0</v>
      </c>
      <c r="M380" s="83">
        <v>38123</v>
      </c>
      <c r="N380" s="80">
        <v>0.375</v>
      </c>
      <c r="O380" s="78">
        <v>23</v>
      </c>
      <c r="P380" s="79">
        <v>5</v>
      </c>
    </row>
    <row r="381" spans="1:16" ht="12.75">
      <c r="A381" s="83">
        <v>38123</v>
      </c>
      <c r="B381" s="80">
        <v>0.4166666666666667</v>
      </c>
      <c r="C381" s="78">
        <v>8</v>
      </c>
      <c r="D381" s="79">
        <v>3</v>
      </c>
      <c r="G381" s="83">
        <v>38123</v>
      </c>
      <c r="H381" s="80">
        <v>0.4166666666666667</v>
      </c>
      <c r="I381" s="78">
        <v>6</v>
      </c>
      <c r="J381" s="79">
        <v>0</v>
      </c>
      <c r="M381" s="83">
        <v>38123</v>
      </c>
      <c r="N381" s="80">
        <v>0.4166666666666667</v>
      </c>
      <c r="O381" s="78">
        <v>13</v>
      </c>
      <c r="P381" s="79">
        <v>5</v>
      </c>
    </row>
    <row r="382" spans="1:16" ht="12.75">
      <c r="A382" s="83">
        <v>38123</v>
      </c>
      <c r="B382" s="80">
        <v>0.4583333333333333</v>
      </c>
      <c r="C382" s="78">
        <v>6</v>
      </c>
      <c r="D382" s="79">
        <v>3</v>
      </c>
      <c r="G382" s="83">
        <v>38123</v>
      </c>
      <c r="H382" s="80">
        <v>0.4583333333333333</v>
      </c>
      <c r="I382" s="78">
        <v>6</v>
      </c>
      <c r="J382" s="79">
        <v>0</v>
      </c>
      <c r="M382" s="83">
        <v>38123</v>
      </c>
      <c r="N382" s="80">
        <v>0.4583333333333333</v>
      </c>
      <c r="O382" s="78">
        <v>8</v>
      </c>
      <c r="P382" s="79">
        <v>3</v>
      </c>
    </row>
    <row r="383" spans="1:16" ht="12.75">
      <c r="A383" s="83">
        <v>38123</v>
      </c>
      <c r="B383" s="80">
        <v>0.5</v>
      </c>
      <c r="C383" s="78">
        <v>4</v>
      </c>
      <c r="D383" s="79">
        <v>3</v>
      </c>
      <c r="G383" s="83">
        <v>38123</v>
      </c>
      <c r="H383" s="80">
        <v>0.5</v>
      </c>
      <c r="I383" s="78">
        <v>6</v>
      </c>
      <c r="J383" s="79">
        <v>0</v>
      </c>
      <c r="M383" s="83">
        <v>38123</v>
      </c>
      <c r="N383" s="80">
        <v>0.5</v>
      </c>
      <c r="O383" s="78">
        <v>10</v>
      </c>
      <c r="P383" s="79">
        <v>3</v>
      </c>
    </row>
    <row r="384" spans="1:16" ht="12.75">
      <c r="A384" s="83">
        <v>38123</v>
      </c>
      <c r="B384" s="80">
        <v>0.5416666666666666</v>
      </c>
      <c r="C384" s="78">
        <v>6</v>
      </c>
      <c r="D384" s="79">
        <v>3</v>
      </c>
      <c r="G384" s="83">
        <v>38123</v>
      </c>
      <c r="H384" s="80">
        <v>0.5416666666666666</v>
      </c>
      <c r="I384" s="78">
        <v>6</v>
      </c>
      <c r="J384" s="79">
        <v>0</v>
      </c>
      <c r="M384" s="83">
        <v>38123</v>
      </c>
      <c r="N384" s="80">
        <v>0.5416666666666666</v>
      </c>
      <c r="O384" s="78">
        <v>8</v>
      </c>
      <c r="P384" s="79">
        <v>3</v>
      </c>
    </row>
    <row r="385" spans="1:16" ht="12.75">
      <c r="A385" s="83">
        <v>38123</v>
      </c>
      <c r="B385" s="80">
        <v>0.5833333333333334</v>
      </c>
      <c r="C385" s="78">
        <v>2</v>
      </c>
      <c r="D385" s="79">
        <v>3</v>
      </c>
      <c r="G385" s="83">
        <v>38123</v>
      </c>
      <c r="H385" s="80">
        <v>0.5833333333333334</v>
      </c>
      <c r="I385" s="78">
        <v>6</v>
      </c>
      <c r="J385" s="79">
        <v>0</v>
      </c>
      <c r="M385" s="83">
        <v>38123</v>
      </c>
      <c r="N385" s="80">
        <v>0.5833333333333334</v>
      </c>
      <c r="O385" s="78">
        <v>13</v>
      </c>
      <c r="P385" s="79">
        <v>3</v>
      </c>
    </row>
    <row r="386" spans="1:16" ht="12.75">
      <c r="A386" s="83">
        <v>38123</v>
      </c>
      <c r="B386" s="80">
        <v>0.625</v>
      </c>
      <c r="C386" s="78">
        <v>4</v>
      </c>
      <c r="D386" s="79">
        <v>3</v>
      </c>
      <c r="G386" s="83">
        <v>38123</v>
      </c>
      <c r="H386" s="80">
        <v>0.625</v>
      </c>
      <c r="I386" s="78">
        <v>6</v>
      </c>
      <c r="J386" s="79">
        <v>0</v>
      </c>
      <c r="M386" s="83">
        <v>38123</v>
      </c>
      <c r="N386" s="80">
        <v>0.625</v>
      </c>
      <c r="O386" s="78">
        <v>15</v>
      </c>
      <c r="P386" s="79">
        <v>3</v>
      </c>
    </row>
    <row r="387" spans="1:16" ht="12.75">
      <c r="A387" s="83">
        <v>38123</v>
      </c>
      <c r="B387" s="80">
        <v>0.6666666666666666</v>
      </c>
      <c r="C387" s="78">
        <v>4</v>
      </c>
      <c r="D387" s="79">
        <v>3</v>
      </c>
      <c r="G387" s="83">
        <v>38123</v>
      </c>
      <c r="H387" s="80">
        <v>0.6666666666666666</v>
      </c>
      <c r="I387" s="78">
        <v>8</v>
      </c>
      <c r="J387" s="79">
        <v>0</v>
      </c>
      <c r="M387" s="83">
        <v>38123</v>
      </c>
      <c r="N387" s="80">
        <v>0.6666666666666666</v>
      </c>
      <c r="O387" s="78">
        <v>13</v>
      </c>
      <c r="P387" s="79">
        <v>3</v>
      </c>
    </row>
    <row r="388" spans="1:16" ht="12.75">
      <c r="A388" s="83">
        <v>38123</v>
      </c>
      <c r="B388" s="80">
        <v>0.7083333333333334</v>
      </c>
      <c r="C388" s="78">
        <v>10</v>
      </c>
      <c r="D388" s="79">
        <v>3</v>
      </c>
      <c r="G388" s="83">
        <v>38123</v>
      </c>
      <c r="H388" s="80">
        <v>0.7083333333333334</v>
      </c>
      <c r="I388" s="78">
        <v>10</v>
      </c>
      <c r="J388" s="79">
        <v>0</v>
      </c>
      <c r="M388" s="83">
        <v>38123</v>
      </c>
      <c r="N388" s="80">
        <v>0.7083333333333334</v>
      </c>
      <c r="O388" s="78">
        <v>29</v>
      </c>
      <c r="P388" s="79">
        <v>5</v>
      </c>
    </row>
    <row r="389" spans="1:16" ht="12.75">
      <c r="A389" s="83">
        <v>38123</v>
      </c>
      <c r="B389" s="80">
        <v>0.75</v>
      </c>
      <c r="C389" s="78">
        <v>8</v>
      </c>
      <c r="D389" s="79">
        <v>3</v>
      </c>
      <c r="G389" s="83">
        <v>38123</v>
      </c>
      <c r="H389" s="80">
        <v>0.75</v>
      </c>
      <c r="I389" s="78">
        <v>10</v>
      </c>
      <c r="J389" s="79">
        <v>0</v>
      </c>
      <c r="M389" s="83">
        <v>38123</v>
      </c>
      <c r="N389" s="80">
        <v>0.75</v>
      </c>
      <c r="O389" s="78">
        <v>63</v>
      </c>
      <c r="P389" s="79">
        <v>5</v>
      </c>
    </row>
    <row r="390" spans="1:16" ht="12.75">
      <c r="A390" s="83">
        <v>38123</v>
      </c>
      <c r="B390" s="80">
        <v>0.7916666666666666</v>
      </c>
      <c r="C390" s="78">
        <v>6</v>
      </c>
      <c r="D390" s="79">
        <v>3</v>
      </c>
      <c r="G390" s="83">
        <v>38123</v>
      </c>
      <c r="H390" s="80">
        <v>0.7916666666666666</v>
      </c>
      <c r="I390" s="78">
        <v>6</v>
      </c>
      <c r="J390" s="79">
        <v>0</v>
      </c>
      <c r="M390" s="83">
        <v>38123</v>
      </c>
      <c r="N390" s="80">
        <v>0.7916666666666666</v>
      </c>
      <c r="O390" s="78">
        <v>71</v>
      </c>
      <c r="P390" s="79">
        <v>5</v>
      </c>
    </row>
    <row r="391" spans="1:16" ht="12.75">
      <c r="A391" s="83">
        <v>38123</v>
      </c>
      <c r="B391" s="80">
        <v>0.8333333333333334</v>
      </c>
      <c r="C391" s="78">
        <v>11</v>
      </c>
      <c r="D391" s="79">
        <v>5</v>
      </c>
      <c r="G391" s="83">
        <v>38123</v>
      </c>
      <c r="H391" s="80">
        <v>0.8333333333333334</v>
      </c>
      <c r="I391" s="78">
        <v>6</v>
      </c>
      <c r="J391" s="79">
        <v>0</v>
      </c>
      <c r="M391" s="83">
        <v>38123</v>
      </c>
      <c r="N391" s="80">
        <v>0.8333333333333334</v>
      </c>
      <c r="O391" s="78">
        <v>80</v>
      </c>
      <c r="P391" s="79">
        <v>5</v>
      </c>
    </row>
    <row r="392" spans="1:16" ht="12.75">
      <c r="A392" s="83">
        <v>38123</v>
      </c>
      <c r="B392" s="80">
        <v>0.875</v>
      </c>
      <c r="C392" s="78">
        <v>42</v>
      </c>
      <c r="D392" s="79">
        <v>5</v>
      </c>
      <c r="G392" s="83">
        <v>38123</v>
      </c>
      <c r="H392" s="80">
        <v>0.875</v>
      </c>
      <c r="I392" s="78">
        <v>8</v>
      </c>
      <c r="J392" s="79">
        <v>0</v>
      </c>
      <c r="M392" s="83">
        <v>38123</v>
      </c>
      <c r="N392" s="80">
        <v>0.875</v>
      </c>
      <c r="O392" s="78">
        <v>82</v>
      </c>
      <c r="P392" s="79">
        <v>5</v>
      </c>
    </row>
    <row r="393" spans="1:16" ht="12.75">
      <c r="A393" s="83">
        <v>38123</v>
      </c>
      <c r="B393" s="80">
        <v>0.9166666666666666</v>
      </c>
      <c r="C393" s="78">
        <v>48</v>
      </c>
      <c r="D393" s="79">
        <v>3</v>
      </c>
      <c r="G393" s="83">
        <v>38123</v>
      </c>
      <c r="H393" s="80">
        <v>0.9166666666666666</v>
      </c>
      <c r="I393" s="78">
        <v>6</v>
      </c>
      <c r="J393" s="79">
        <v>0</v>
      </c>
      <c r="M393" s="83">
        <v>38123</v>
      </c>
      <c r="N393" s="80">
        <v>0.9166666666666666</v>
      </c>
      <c r="O393" s="78">
        <v>94</v>
      </c>
      <c r="P393" s="79">
        <v>5</v>
      </c>
    </row>
    <row r="394" spans="1:16" ht="12.75">
      <c r="A394" s="83">
        <v>38123</v>
      </c>
      <c r="B394" s="80">
        <v>0.9583333333333334</v>
      </c>
      <c r="C394" s="78">
        <v>55</v>
      </c>
      <c r="D394" s="79">
        <v>3</v>
      </c>
      <c r="G394" s="83">
        <v>38123</v>
      </c>
      <c r="H394" s="80">
        <v>0.9583333333333334</v>
      </c>
      <c r="I394" s="78">
        <v>6</v>
      </c>
      <c r="J394" s="79">
        <v>0</v>
      </c>
      <c r="M394" s="83">
        <v>38123</v>
      </c>
      <c r="N394" s="80">
        <v>0.9583333333333334</v>
      </c>
      <c r="O394" s="78">
        <v>94</v>
      </c>
      <c r="P394" s="79">
        <v>3</v>
      </c>
    </row>
    <row r="395" spans="1:16" ht="12.75">
      <c r="A395" s="83">
        <v>38123</v>
      </c>
      <c r="B395" s="81">
        <v>1</v>
      </c>
      <c r="C395" s="78">
        <v>44</v>
      </c>
      <c r="D395" s="79">
        <v>3</v>
      </c>
      <c r="G395" s="83">
        <v>38123</v>
      </c>
      <c r="H395" s="81">
        <v>1</v>
      </c>
      <c r="I395" s="78">
        <v>6</v>
      </c>
      <c r="J395" s="79">
        <v>0</v>
      </c>
      <c r="M395" s="83">
        <v>38123</v>
      </c>
      <c r="N395" s="81">
        <v>1</v>
      </c>
      <c r="O395" s="78">
        <v>82</v>
      </c>
      <c r="P395" s="79">
        <v>3</v>
      </c>
    </row>
    <row r="396" spans="1:16" s="92" customFormat="1" ht="12.75">
      <c r="A396" s="90">
        <v>38124</v>
      </c>
      <c r="B396" s="91">
        <v>0.041666666666666664</v>
      </c>
      <c r="C396" s="92">
        <v>36</v>
      </c>
      <c r="D396" s="92">
        <v>3</v>
      </c>
      <c r="G396" s="90">
        <v>38124</v>
      </c>
      <c r="H396" s="91">
        <v>0.041666666666666664</v>
      </c>
      <c r="I396" s="92">
        <v>4</v>
      </c>
      <c r="J396" s="92">
        <v>0</v>
      </c>
      <c r="M396" s="90">
        <v>38124</v>
      </c>
      <c r="N396" s="91">
        <v>0.041666666666666664</v>
      </c>
      <c r="O396" s="92">
        <v>63</v>
      </c>
      <c r="P396" s="92">
        <v>3</v>
      </c>
    </row>
    <row r="397" spans="1:16" ht="12.75">
      <c r="A397" s="83">
        <v>38124</v>
      </c>
      <c r="B397" s="80">
        <v>0.08333333333333333</v>
      </c>
      <c r="C397" s="78">
        <v>13</v>
      </c>
      <c r="D397" s="79">
        <v>3</v>
      </c>
      <c r="G397" s="83">
        <v>38124</v>
      </c>
      <c r="H397" s="80">
        <v>0.08333333333333333</v>
      </c>
      <c r="I397" s="78">
        <v>4</v>
      </c>
      <c r="J397" s="79">
        <v>0</v>
      </c>
      <c r="M397" s="83">
        <v>38124</v>
      </c>
      <c r="N397" s="80">
        <v>0.08333333333333333</v>
      </c>
      <c r="O397" s="78">
        <v>53</v>
      </c>
      <c r="P397" s="79">
        <v>0</v>
      </c>
    </row>
    <row r="398" spans="1:16" ht="12.75">
      <c r="A398" s="83">
        <v>38124</v>
      </c>
      <c r="B398" s="80">
        <v>0.125</v>
      </c>
      <c r="C398" s="78">
        <v>11</v>
      </c>
      <c r="D398" s="79">
        <v>3</v>
      </c>
      <c r="G398" s="83">
        <v>38124</v>
      </c>
      <c r="H398" s="80">
        <v>0.125</v>
      </c>
      <c r="I398" s="78">
        <v>2</v>
      </c>
      <c r="J398" s="79">
        <v>0</v>
      </c>
      <c r="M398" s="83">
        <v>38124</v>
      </c>
      <c r="N398" s="80">
        <v>0.125</v>
      </c>
      <c r="O398" s="78">
        <v>57</v>
      </c>
      <c r="P398" s="79">
        <v>3</v>
      </c>
    </row>
    <row r="399" spans="1:16" ht="12.75">
      <c r="A399" s="83">
        <v>38124</v>
      </c>
      <c r="B399" s="80">
        <v>0.16666666666666666</v>
      </c>
      <c r="C399" s="78">
        <v>11</v>
      </c>
      <c r="D399" s="79">
        <v>3</v>
      </c>
      <c r="G399" s="83">
        <v>38124</v>
      </c>
      <c r="H399" s="80">
        <v>0.16666666666666666</v>
      </c>
      <c r="I399" s="78">
        <v>2</v>
      </c>
      <c r="J399" s="79">
        <v>0</v>
      </c>
      <c r="M399" s="83">
        <v>38124</v>
      </c>
      <c r="N399" s="80">
        <v>0.16666666666666666</v>
      </c>
      <c r="O399" s="78">
        <v>44</v>
      </c>
      <c r="P399" s="79">
        <v>3</v>
      </c>
    </row>
    <row r="400" spans="1:16" ht="12.75">
      <c r="A400" s="83">
        <v>38124</v>
      </c>
      <c r="B400" s="80">
        <v>0.20833333333333334</v>
      </c>
      <c r="C400" s="78">
        <v>13</v>
      </c>
      <c r="D400" s="79">
        <v>3</v>
      </c>
      <c r="G400" s="83">
        <v>38124</v>
      </c>
      <c r="H400" s="80">
        <v>0.20833333333333334</v>
      </c>
      <c r="I400" s="78">
        <v>2</v>
      </c>
      <c r="J400" s="79">
        <v>0</v>
      </c>
      <c r="M400" s="83">
        <v>38124</v>
      </c>
      <c r="N400" s="80">
        <v>0.20833333333333334</v>
      </c>
      <c r="O400" s="78">
        <v>31</v>
      </c>
      <c r="P400" s="79">
        <v>3</v>
      </c>
    </row>
    <row r="401" spans="1:16" ht="12.75">
      <c r="A401" s="83">
        <v>38124</v>
      </c>
      <c r="B401" s="80">
        <v>0.25</v>
      </c>
      <c r="D401" s="79">
        <v>3</v>
      </c>
      <c r="G401" s="83">
        <v>38124</v>
      </c>
      <c r="H401" s="80">
        <v>0.25</v>
      </c>
      <c r="I401" s="78">
        <v>4</v>
      </c>
      <c r="J401" s="79">
        <v>0</v>
      </c>
      <c r="M401" s="83">
        <v>38124</v>
      </c>
      <c r="N401" s="80">
        <v>0.25</v>
      </c>
      <c r="O401" s="78">
        <v>36</v>
      </c>
      <c r="P401" s="79">
        <v>3</v>
      </c>
    </row>
    <row r="402" spans="1:16" ht="12.75">
      <c r="A402" s="83">
        <v>38124</v>
      </c>
      <c r="B402" s="80">
        <v>0.2916666666666667</v>
      </c>
      <c r="C402" s="78">
        <v>25</v>
      </c>
      <c r="D402" s="79">
        <v>5</v>
      </c>
      <c r="G402" s="83">
        <v>38124</v>
      </c>
      <c r="H402" s="80">
        <v>0.2916666666666667</v>
      </c>
      <c r="I402" s="78">
        <v>17</v>
      </c>
      <c r="J402" s="79">
        <v>0</v>
      </c>
      <c r="M402" s="83">
        <v>38124</v>
      </c>
      <c r="N402" s="80">
        <v>0.2916666666666667</v>
      </c>
      <c r="P402" s="79">
        <v>5</v>
      </c>
    </row>
    <row r="403" spans="1:16" ht="12.75">
      <c r="A403" s="83">
        <v>38124</v>
      </c>
      <c r="B403" s="80">
        <v>0.3333333333333333</v>
      </c>
      <c r="C403" s="78">
        <v>25</v>
      </c>
      <c r="D403" s="79">
        <v>3</v>
      </c>
      <c r="G403" s="83">
        <v>38124</v>
      </c>
      <c r="H403" s="80">
        <v>0.3333333333333333</v>
      </c>
      <c r="I403" s="78">
        <v>23</v>
      </c>
      <c r="J403" s="79">
        <v>0</v>
      </c>
      <c r="M403" s="83">
        <v>38124</v>
      </c>
      <c r="N403" s="80">
        <v>0.3333333333333333</v>
      </c>
      <c r="O403" s="78">
        <v>86</v>
      </c>
      <c r="P403" s="79">
        <v>8</v>
      </c>
    </row>
    <row r="404" spans="1:16" ht="12.75">
      <c r="A404" s="83">
        <v>38124</v>
      </c>
      <c r="B404" s="80">
        <v>0.375</v>
      </c>
      <c r="C404" s="78">
        <v>25</v>
      </c>
      <c r="D404" s="79">
        <v>11</v>
      </c>
      <c r="G404" s="83">
        <v>38124</v>
      </c>
      <c r="H404" s="80">
        <v>0.375</v>
      </c>
      <c r="I404" s="78">
        <v>21</v>
      </c>
      <c r="J404" s="79">
        <v>0</v>
      </c>
      <c r="M404" s="83">
        <v>38124</v>
      </c>
      <c r="N404" s="80">
        <v>0.375</v>
      </c>
      <c r="O404" s="78">
        <v>80</v>
      </c>
      <c r="P404" s="79">
        <v>5</v>
      </c>
    </row>
    <row r="405" spans="1:16" ht="12.75">
      <c r="A405" s="83">
        <v>38124</v>
      </c>
      <c r="B405" s="80">
        <v>0.4166666666666667</v>
      </c>
      <c r="C405" s="78">
        <v>13</v>
      </c>
      <c r="D405" s="79">
        <v>5</v>
      </c>
      <c r="G405" s="83">
        <v>38124</v>
      </c>
      <c r="H405" s="80">
        <v>0.4166666666666667</v>
      </c>
      <c r="I405" s="78">
        <v>21</v>
      </c>
      <c r="J405" s="79">
        <v>0</v>
      </c>
      <c r="M405" s="83">
        <v>38124</v>
      </c>
      <c r="N405" s="80">
        <v>0.4166666666666667</v>
      </c>
      <c r="O405" s="78">
        <v>42</v>
      </c>
      <c r="P405" s="79">
        <v>3</v>
      </c>
    </row>
    <row r="406" spans="1:16" ht="12.75">
      <c r="A406" s="83">
        <v>38124</v>
      </c>
      <c r="B406" s="80">
        <v>0.4583333333333333</v>
      </c>
      <c r="C406" s="78">
        <v>11</v>
      </c>
      <c r="D406" s="79">
        <v>5</v>
      </c>
      <c r="G406" s="83">
        <v>38124</v>
      </c>
      <c r="H406" s="80">
        <v>0.4583333333333333</v>
      </c>
      <c r="I406" s="78">
        <v>21</v>
      </c>
      <c r="J406" s="79">
        <v>0</v>
      </c>
      <c r="M406" s="83">
        <v>38124</v>
      </c>
      <c r="N406" s="80">
        <v>0.4583333333333333</v>
      </c>
      <c r="O406" s="78">
        <v>40</v>
      </c>
      <c r="P406" s="79">
        <v>3</v>
      </c>
    </row>
    <row r="407" spans="1:16" ht="12.75">
      <c r="A407" s="83">
        <v>38124</v>
      </c>
      <c r="B407" s="80">
        <v>0.5</v>
      </c>
      <c r="C407" s="78">
        <v>15</v>
      </c>
      <c r="D407" s="79">
        <v>8</v>
      </c>
      <c r="G407" s="83">
        <v>38124</v>
      </c>
      <c r="H407" s="80">
        <v>0.5</v>
      </c>
      <c r="I407" s="78">
        <v>21</v>
      </c>
      <c r="J407" s="79">
        <v>0</v>
      </c>
      <c r="M407" s="83">
        <v>38124</v>
      </c>
      <c r="N407" s="80">
        <v>0.5</v>
      </c>
      <c r="O407" s="78">
        <v>44</v>
      </c>
      <c r="P407" s="79">
        <v>3</v>
      </c>
    </row>
    <row r="408" spans="1:16" ht="12.75">
      <c r="A408" s="83">
        <v>38124</v>
      </c>
      <c r="B408" s="80">
        <v>0.5416666666666666</v>
      </c>
      <c r="C408" s="78">
        <v>11</v>
      </c>
      <c r="D408" s="79">
        <v>5</v>
      </c>
      <c r="G408" s="83">
        <v>38124</v>
      </c>
      <c r="H408" s="80">
        <v>0.5416666666666666</v>
      </c>
      <c r="I408" s="78">
        <v>23</v>
      </c>
      <c r="J408" s="79">
        <v>0</v>
      </c>
      <c r="M408" s="83">
        <v>38124</v>
      </c>
      <c r="N408" s="80">
        <v>0.5416666666666666</v>
      </c>
      <c r="O408" s="78">
        <v>23</v>
      </c>
      <c r="P408" s="79">
        <v>13</v>
      </c>
    </row>
    <row r="409" spans="1:16" ht="12.75">
      <c r="A409" s="83">
        <v>38124</v>
      </c>
      <c r="B409" s="80">
        <v>0.5833333333333334</v>
      </c>
      <c r="C409" s="78">
        <v>10</v>
      </c>
      <c r="D409" s="79">
        <v>3</v>
      </c>
      <c r="G409" s="83">
        <v>38124</v>
      </c>
      <c r="H409" s="80">
        <v>0.5833333333333334</v>
      </c>
      <c r="I409" s="78">
        <v>17</v>
      </c>
      <c r="J409" s="79">
        <v>0</v>
      </c>
      <c r="M409" s="83">
        <v>38124</v>
      </c>
      <c r="N409" s="80">
        <v>0.5833333333333334</v>
      </c>
      <c r="O409" s="78">
        <v>36</v>
      </c>
      <c r="P409" s="79">
        <v>11</v>
      </c>
    </row>
    <row r="410" spans="1:16" ht="12.75">
      <c r="A410" s="83">
        <v>38124</v>
      </c>
      <c r="B410" s="80">
        <v>0.625</v>
      </c>
      <c r="C410" s="78">
        <v>10</v>
      </c>
      <c r="D410" s="79">
        <v>3</v>
      </c>
      <c r="G410" s="83">
        <v>38124</v>
      </c>
      <c r="H410" s="80">
        <v>0.625</v>
      </c>
      <c r="I410" s="78">
        <v>13</v>
      </c>
      <c r="J410" s="79">
        <v>0</v>
      </c>
      <c r="M410" s="83">
        <v>38124</v>
      </c>
      <c r="N410" s="80">
        <v>0.625</v>
      </c>
      <c r="O410" s="78">
        <v>25</v>
      </c>
      <c r="P410" s="79">
        <v>8</v>
      </c>
    </row>
    <row r="411" spans="1:16" ht="12.75">
      <c r="A411" s="83">
        <v>38124</v>
      </c>
      <c r="B411" s="80">
        <v>0.6666666666666666</v>
      </c>
      <c r="C411" s="78">
        <v>10</v>
      </c>
      <c r="D411" s="79">
        <v>3</v>
      </c>
      <c r="G411" s="83">
        <v>38124</v>
      </c>
      <c r="H411" s="80">
        <v>0.6666666666666666</v>
      </c>
      <c r="I411" s="78">
        <v>15</v>
      </c>
      <c r="J411" s="79">
        <v>0</v>
      </c>
      <c r="M411" s="83">
        <v>38124</v>
      </c>
      <c r="N411" s="80">
        <v>0.6666666666666666</v>
      </c>
      <c r="O411" s="78">
        <v>34</v>
      </c>
      <c r="P411" s="79">
        <v>8</v>
      </c>
    </row>
    <row r="412" spans="1:16" ht="12.75">
      <c r="A412" s="83">
        <v>38124</v>
      </c>
      <c r="B412" s="80">
        <v>0.7083333333333334</v>
      </c>
      <c r="C412" s="78">
        <v>13</v>
      </c>
      <c r="D412" s="79">
        <v>3</v>
      </c>
      <c r="G412" s="83">
        <v>38124</v>
      </c>
      <c r="H412" s="80">
        <v>0.7083333333333334</v>
      </c>
      <c r="I412" s="78">
        <v>21</v>
      </c>
      <c r="J412" s="79">
        <v>0</v>
      </c>
      <c r="M412" s="83">
        <v>38124</v>
      </c>
      <c r="N412" s="80">
        <v>0.7083333333333334</v>
      </c>
      <c r="O412" s="78">
        <v>32</v>
      </c>
      <c r="P412" s="79">
        <v>8</v>
      </c>
    </row>
    <row r="413" spans="1:16" ht="12.75">
      <c r="A413" s="83">
        <v>38124</v>
      </c>
      <c r="B413" s="80">
        <v>0.75</v>
      </c>
      <c r="C413" s="78">
        <v>8</v>
      </c>
      <c r="D413" s="79">
        <v>5</v>
      </c>
      <c r="G413" s="83">
        <v>38124</v>
      </c>
      <c r="H413" s="80">
        <v>0.75</v>
      </c>
      <c r="I413" s="78">
        <v>21</v>
      </c>
      <c r="J413" s="79">
        <v>0</v>
      </c>
      <c r="M413" s="83">
        <v>38124</v>
      </c>
      <c r="N413" s="80">
        <v>0.75</v>
      </c>
      <c r="O413" s="78">
        <v>17</v>
      </c>
      <c r="P413" s="79">
        <v>8</v>
      </c>
    </row>
    <row r="414" spans="1:16" ht="12.75">
      <c r="A414" s="83">
        <v>38124</v>
      </c>
      <c r="B414" s="80">
        <v>0.7916666666666666</v>
      </c>
      <c r="C414" s="78">
        <v>8</v>
      </c>
      <c r="D414" s="79">
        <v>5</v>
      </c>
      <c r="G414" s="83">
        <v>38124</v>
      </c>
      <c r="H414" s="80">
        <v>0.7916666666666666</v>
      </c>
      <c r="I414" s="78">
        <v>11</v>
      </c>
      <c r="J414" s="79">
        <v>0</v>
      </c>
      <c r="M414" s="83">
        <v>38124</v>
      </c>
      <c r="N414" s="80">
        <v>0.7916666666666666</v>
      </c>
      <c r="O414" s="78">
        <v>25</v>
      </c>
      <c r="P414" s="79">
        <v>5</v>
      </c>
    </row>
    <row r="415" spans="1:16" ht="12.75">
      <c r="A415" s="83">
        <v>38124</v>
      </c>
      <c r="B415" s="80">
        <v>0.8333333333333334</v>
      </c>
      <c r="C415" s="78">
        <v>11</v>
      </c>
      <c r="D415" s="79">
        <v>5</v>
      </c>
      <c r="G415" s="83">
        <v>38124</v>
      </c>
      <c r="H415" s="80">
        <v>0.8333333333333334</v>
      </c>
      <c r="I415" s="78">
        <v>13</v>
      </c>
      <c r="J415" s="79">
        <v>0</v>
      </c>
      <c r="M415" s="83">
        <v>38124</v>
      </c>
      <c r="N415" s="80">
        <v>0.8333333333333334</v>
      </c>
      <c r="O415" s="78">
        <v>48</v>
      </c>
      <c r="P415" s="79">
        <v>3</v>
      </c>
    </row>
    <row r="416" spans="1:16" ht="12.75">
      <c r="A416" s="83">
        <v>38124</v>
      </c>
      <c r="B416" s="80">
        <v>0.875</v>
      </c>
      <c r="C416" s="78">
        <v>13</v>
      </c>
      <c r="D416" s="79">
        <v>8</v>
      </c>
      <c r="G416" s="83">
        <v>38124</v>
      </c>
      <c r="H416" s="80">
        <v>0.875</v>
      </c>
      <c r="I416" s="78">
        <v>21</v>
      </c>
      <c r="J416" s="79">
        <v>0</v>
      </c>
      <c r="M416" s="83">
        <v>38124</v>
      </c>
      <c r="N416" s="80">
        <v>0.875</v>
      </c>
      <c r="O416" s="78">
        <v>86</v>
      </c>
      <c r="P416" s="79">
        <v>3</v>
      </c>
    </row>
    <row r="417" spans="1:16" ht="12.75">
      <c r="A417" s="83">
        <v>38124</v>
      </c>
      <c r="B417" s="80">
        <v>0.9166666666666666</v>
      </c>
      <c r="C417" s="78">
        <v>21</v>
      </c>
      <c r="D417" s="79">
        <v>5</v>
      </c>
      <c r="G417" s="83">
        <v>38124</v>
      </c>
      <c r="H417" s="80">
        <v>0.9166666666666666</v>
      </c>
      <c r="I417" s="78">
        <v>21</v>
      </c>
      <c r="J417" s="79">
        <v>0</v>
      </c>
      <c r="M417" s="83">
        <v>38124</v>
      </c>
      <c r="N417" s="80">
        <v>0.9166666666666666</v>
      </c>
      <c r="O417" s="78">
        <v>59</v>
      </c>
      <c r="P417" s="79">
        <v>0</v>
      </c>
    </row>
    <row r="418" spans="1:16" ht="12.75">
      <c r="A418" s="83">
        <v>38124</v>
      </c>
      <c r="B418" s="80">
        <v>0.9583333333333334</v>
      </c>
      <c r="C418" s="78">
        <v>40</v>
      </c>
      <c r="D418" s="79">
        <v>5</v>
      </c>
      <c r="G418" s="83">
        <v>38124</v>
      </c>
      <c r="H418" s="80">
        <v>0.9583333333333334</v>
      </c>
      <c r="I418" s="78">
        <v>19</v>
      </c>
      <c r="J418" s="79">
        <v>0</v>
      </c>
      <c r="M418" s="83">
        <v>38124</v>
      </c>
      <c r="N418" s="80">
        <v>0.9583333333333334</v>
      </c>
      <c r="O418" s="78">
        <v>38</v>
      </c>
      <c r="P418" s="79">
        <v>3</v>
      </c>
    </row>
    <row r="419" spans="1:16" ht="12.75">
      <c r="A419" s="83">
        <v>38124</v>
      </c>
      <c r="B419" s="81">
        <v>1</v>
      </c>
      <c r="C419" s="78">
        <v>31</v>
      </c>
      <c r="D419" s="79">
        <v>3</v>
      </c>
      <c r="G419" s="83">
        <v>38124</v>
      </c>
      <c r="H419" s="81">
        <v>1</v>
      </c>
      <c r="I419" s="78">
        <v>10</v>
      </c>
      <c r="J419" s="79">
        <v>0</v>
      </c>
      <c r="M419" s="83">
        <v>38124</v>
      </c>
      <c r="N419" s="81">
        <v>1</v>
      </c>
      <c r="O419" s="78">
        <v>19</v>
      </c>
      <c r="P419" s="79">
        <v>5</v>
      </c>
    </row>
    <row r="420" spans="1:16" s="92" customFormat="1" ht="12.75">
      <c r="A420" s="90">
        <v>38125</v>
      </c>
      <c r="B420" s="91">
        <v>0.041666666666666664</v>
      </c>
      <c r="C420" s="92">
        <v>19</v>
      </c>
      <c r="D420" s="92">
        <v>3</v>
      </c>
      <c r="G420" s="90">
        <v>38125</v>
      </c>
      <c r="H420" s="91">
        <v>0.041666666666666664</v>
      </c>
      <c r="I420" s="92">
        <v>4</v>
      </c>
      <c r="J420" s="92">
        <v>0</v>
      </c>
      <c r="M420" s="90">
        <v>38125</v>
      </c>
      <c r="N420" s="91">
        <v>0.041666666666666664</v>
      </c>
      <c r="O420" s="92">
        <v>11</v>
      </c>
      <c r="P420" s="92">
        <v>3</v>
      </c>
    </row>
    <row r="421" spans="1:16" ht="12.75">
      <c r="A421" s="83">
        <v>38125</v>
      </c>
      <c r="B421" s="80">
        <v>0.08333333333333333</v>
      </c>
      <c r="C421" s="78">
        <v>13</v>
      </c>
      <c r="D421" s="79">
        <v>3</v>
      </c>
      <c r="G421" s="83">
        <v>38125</v>
      </c>
      <c r="H421" s="80">
        <v>0.08333333333333333</v>
      </c>
      <c r="I421" s="78">
        <v>6</v>
      </c>
      <c r="J421" s="79">
        <v>0</v>
      </c>
      <c r="M421" s="83">
        <v>38125</v>
      </c>
      <c r="N421" s="80">
        <v>0.08333333333333333</v>
      </c>
      <c r="O421" s="78">
        <v>17</v>
      </c>
      <c r="P421" s="79">
        <v>3</v>
      </c>
    </row>
    <row r="422" spans="1:16" ht="12.75">
      <c r="A422" s="83">
        <v>38125</v>
      </c>
      <c r="B422" s="80">
        <v>0.125</v>
      </c>
      <c r="C422" s="78">
        <v>15</v>
      </c>
      <c r="D422" s="79">
        <v>3</v>
      </c>
      <c r="G422" s="83">
        <v>38125</v>
      </c>
      <c r="H422" s="80">
        <v>0.125</v>
      </c>
      <c r="I422" s="78">
        <v>2</v>
      </c>
      <c r="J422" s="79">
        <v>0</v>
      </c>
      <c r="M422" s="83">
        <v>38125</v>
      </c>
      <c r="N422" s="80">
        <v>0.125</v>
      </c>
      <c r="O422" s="78">
        <v>17</v>
      </c>
      <c r="P422" s="79">
        <v>5</v>
      </c>
    </row>
    <row r="423" spans="1:16" ht="12.75">
      <c r="A423" s="83">
        <v>38125</v>
      </c>
      <c r="B423" s="80">
        <v>0.16666666666666666</v>
      </c>
      <c r="C423" s="78">
        <v>11</v>
      </c>
      <c r="D423" s="79">
        <v>3</v>
      </c>
      <c r="G423" s="83">
        <v>38125</v>
      </c>
      <c r="H423" s="80">
        <v>0.16666666666666666</v>
      </c>
      <c r="I423" s="78">
        <v>2</v>
      </c>
      <c r="J423" s="79">
        <v>0</v>
      </c>
      <c r="M423" s="83">
        <v>38125</v>
      </c>
      <c r="N423" s="80">
        <v>0.16666666666666666</v>
      </c>
      <c r="O423" s="78">
        <v>23</v>
      </c>
      <c r="P423" s="79">
        <v>5</v>
      </c>
    </row>
    <row r="424" spans="1:16" ht="12.75">
      <c r="A424" s="83">
        <v>38125</v>
      </c>
      <c r="B424" s="80">
        <v>0.20833333333333334</v>
      </c>
      <c r="C424" s="78">
        <v>17</v>
      </c>
      <c r="D424" s="79">
        <v>0</v>
      </c>
      <c r="G424" s="83">
        <v>38125</v>
      </c>
      <c r="H424" s="80">
        <v>0.20833333333333334</v>
      </c>
      <c r="I424" s="78">
        <v>0</v>
      </c>
      <c r="J424" s="79">
        <v>0</v>
      </c>
      <c r="M424" s="83">
        <v>38125</v>
      </c>
      <c r="N424" s="80">
        <v>0.20833333333333334</v>
      </c>
      <c r="O424" s="78">
        <v>32</v>
      </c>
      <c r="P424" s="79">
        <v>5</v>
      </c>
    </row>
    <row r="425" spans="1:16" ht="12.75">
      <c r="A425" s="83">
        <v>38125</v>
      </c>
      <c r="B425" s="80">
        <v>0.25</v>
      </c>
      <c r="C425" s="78">
        <v>25</v>
      </c>
      <c r="D425" s="79">
        <v>3</v>
      </c>
      <c r="G425" s="83">
        <v>38125</v>
      </c>
      <c r="H425" s="80">
        <v>0.25</v>
      </c>
      <c r="I425" s="78">
        <v>6</v>
      </c>
      <c r="J425" s="79">
        <v>0</v>
      </c>
      <c r="M425" s="83">
        <v>38125</v>
      </c>
      <c r="N425" s="80">
        <v>0.25</v>
      </c>
      <c r="O425" s="78">
        <v>32</v>
      </c>
      <c r="P425" s="79">
        <v>5</v>
      </c>
    </row>
    <row r="426" spans="1:16" ht="12.75">
      <c r="A426" s="83">
        <v>38125</v>
      </c>
      <c r="B426" s="80">
        <v>0.2916666666666667</v>
      </c>
      <c r="C426" s="78">
        <v>31</v>
      </c>
      <c r="D426" s="79">
        <v>3</v>
      </c>
      <c r="G426" s="83">
        <v>38125</v>
      </c>
      <c r="H426" s="80">
        <v>0.2916666666666667</v>
      </c>
      <c r="I426" s="78">
        <v>15</v>
      </c>
      <c r="J426" s="79">
        <v>0</v>
      </c>
      <c r="M426" s="83">
        <v>38125</v>
      </c>
      <c r="N426" s="80">
        <v>0.2916666666666667</v>
      </c>
      <c r="O426" s="78">
        <v>34</v>
      </c>
      <c r="P426" s="79">
        <v>8</v>
      </c>
    </row>
    <row r="427" spans="1:16" ht="12.75">
      <c r="A427" s="83">
        <v>38125</v>
      </c>
      <c r="B427" s="80">
        <v>0.3333333333333333</v>
      </c>
      <c r="C427" s="78">
        <v>27</v>
      </c>
      <c r="D427" s="79">
        <v>5</v>
      </c>
      <c r="G427" s="83">
        <v>38125</v>
      </c>
      <c r="H427" s="80">
        <v>0.3333333333333333</v>
      </c>
      <c r="I427" s="78">
        <v>23</v>
      </c>
      <c r="J427" s="79">
        <v>0</v>
      </c>
      <c r="M427" s="83">
        <v>38125</v>
      </c>
      <c r="N427" s="80">
        <v>0.3333333333333333</v>
      </c>
      <c r="O427" s="78">
        <v>31</v>
      </c>
      <c r="P427" s="79">
        <v>11</v>
      </c>
    </row>
    <row r="428" spans="1:14" ht="12.75">
      <c r="A428" s="83">
        <v>38125</v>
      </c>
      <c r="B428" s="80">
        <v>0.375</v>
      </c>
      <c r="C428" s="78">
        <v>23</v>
      </c>
      <c r="D428" s="79">
        <v>5</v>
      </c>
      <c r="G428" s="83">
        <v>38125</v>
      </c>
      <c r="H428" s="80">
        <v>0.375</v>
      </c>
      <c r="I428" s="78">
        <v>27</v>
      </c>
      <c r="J428" s="79">
        <v>0</v>
      </c>
      <c r="M428" s="83">
        <v>38125</v>
      </c>
      <c r="N428" s="80">
        <v>0.375</v>
      </c>
    </row>
    <row r="429" spans="1:14" ht="12.75">
      <c r="A429" s="83">
        <v>38125</v>
      </c>
      <c r="B429" s="80">
        <v>0.4166666666666667</v>
      </c>
      <c r="C429" s="78">
        <v>27</v>
      </c>
      <c r="D429" s="79">
        <v>8</v>
      </c>
      <c r="G429" s="83">
        <v>38125</v>
      </c>
      <c r="H429" s="80">
        <v>0.4166666666666667</v>
      </c>
      <c r="M429" s="83">
        <v>38125</v>
      </c>
      <c r="N429" s="80">
        <v>0.4166666666666667</v>
      </c>
    </row>
    <row r="430" spans="1:14" ht="12.75">
      <c r="A430" s="83">
        <v>38125</v>
      </c>
      <c r="B430" s="80">
        <v>0.4583333333333333</v>
      </c>
      <c r="C430" s="78">
        <v>19</v>
      </c>
      <c r="D430" s="79">
        <v>5</v>
      </c>
      <c r="G430" s="83">
        <v>38125</v>
      </c>
      <c r="H430" s="80">
        <v>0.4583333333333333</v>
      </c>
      <c r="M430" s="83">
        <v>38125</v>
      </c>
      <c r="N430" s="80">
        <v>0.4583333333333333</v>
      </c>
    </row>
    <row r="431" spans="1:16" ht="12.75">
      <c r="A431" s="83">
        <v>38125</v>
      </c>
      <c r="B431" s="80">
        <v>0.5</v>
      </c>
      <c r="C431" s="78">
        <v>31</v>
      </c>
      <c r="D431" s="79">
        <v>16</v>
      </c>
      <c r="G431" s="83">
        <v>38125</v>
      </c>
      <c r="H431" s="80">
        <v>0.5</v>
      </c>
      <c r="J431" s="79">
        <v>0</v>
      </c>
      <c r="M431" s="83">
        <v>38125</v>
      </c>
      <c r="N431" s="80">
        <v>0.5</v>
      </c>
      <c r="P431" s="79">
        <v>5</v>
      </c>
    </row>
    <row r="432" spans="1:16" ht="12.75">
      <c r="A432" s="83">
        <v>38125</v>
      </c>
      <c r="B432" s="80">
        <v>0.5416666666666666</v>
      </c>
      <c r="C432" s="78">
        <v>23</v>
      </c>
      <c r="D432" s="79">
        <v>19</v>
      </c>
      <c r="G432" s="83">
        <v>38125</v>
      </c>
      <c r="H432" s="80">
        <v>0.5416666666666666</v>
      </c>
      <c r="J432" s="79">
        <v>0</v>
      </c>
      <c r="M432" s="83">
        <v>38125</v>
      </c>
      <c r="N432" s="80">
        <v>0.5416666666666666</v>
      </c>
      <c r="O432" s="78">
        <v>32</v>
      </c>
      <c r="P432" s="79">
        <v>5</v>
      </c>
    </row>
    <row r="433" spans="1:16" ht="12.75">
      <c r="A433" s="83">
        <v>38125</v>
      </c>
      <c r="B433" s="80">
        <v>0.5833333333333334</v>
      </c>
      <c r="C433" s="78">
        <v>17</v>
      </c>
      <c r="D433" s="79">
        <v>8</v>
      </c>
      <c r="G433" s="83">
        <v>38125</v>
      </c>
      <c r="H433" s="80">
        <v>0.5833333333333334</v>
      </c>
      <c r="J433" s="79">
        <v>0</v>
      </c>
      <c r="M433" s="83">
        <v>38125</v>
      </c>
      <c r="N433" s="80">
        <v>0.5833333333333334</v>
      </c>
      <c r="O433" s="78">
        <v>32</v>
      </c>
      <c r="P433" s="79">
        <v>5</v>
      </c>
    </row>
    <row r="434" spans="1:16" ht="12.75">
      <c r="A434" s="83">
        <v>38125</v>
      </c>
      <c r="B434" s="80">
        <v>0.625</v>
      </c>
      <c r="C434" s="78">
        <v>21</v>
      </c>
      <c r="D434" s="79">
        <v>3</v>
      </c>
      <c r="G434" s="83">
        <v>38125</v>
      </c>
      <c r="H434" s="80">
        <v>0.625</v>
      </c>
      <c r="I434" s="78">
        <v>25</v>
      </c>
      <c r="J434" s="79">
        <v>0</v>
      </c>
      <c r="M434" s="83">
        <v>38125</v>
      </c>
      <c r="N434" s="80">
        <v>0.625</v>
      </c>
      <c r="O434" s="78">
        <v>23</v>
      </c>
      <c r="P434" s="79">
        <v>3</v>
      </c>
    </row>
    <row r="435" spans="1:16" ht="12.75">
      <c r="A435" s="83">
        <v>38125</v>
      </c>
      <c r="B435" s="80">
        <v>0.6666666666666666</v>
      </c>
      <c r="C435" s="78">
        <v>17</v>
      </c>
      <c r="D435" s="79">
        <v>3</v>
      </c>
      <c r="G435" s="83">
        <v>38125</v>
      </c>
      <c r="H435" s="80">
        <v>0.6666666666666666</v>
      </c>
      <c r="I435" s="78">
        <v>27</v>
      </c>
      <c r="J435" s="79">
        <v>0</v>
      </c>
      <c r="M435" s="83">
        <v>38125</v>
      </c>
      <c r="N435" s="80">
        <v>0.6666666666666666</v>
      </c>
      <c r="O435" s="78">
        <v>23</v>
      </c>
      <c r="P435" s="79">
        <v>3</v>
      </c>
    </row>
    <row r="436" spans="1:16" ht="12.75">
      <c r="A436" s="83">
        <v>38125</v>
      </c>
      <c r="B436" s="80">
        <v>0.7083333333333334</v>
      </c>
      <c r="C436" s="78">
        <v>23</v>
      </c>
      <c r="D436" s="79">
        <v>3</v>
      </c>
      <c r="G436" s="83">
        <v>38125</v>
      </c>
      <c r="H436" s="80">
        <v>0.7083333333333334</v>
      </c>
      <c r="I436" s="78">
        <v>25</v>
      </c>
      <c r="J436" s="79">
        <v>0</v>
      </c>
      <c r="M436" s="83">
        <v>38125</v>
      </c>
      <c r="N436" s="80">
        <v>0.7083333333333334</v>
      </c>
      <c r="O436" s="78">
        <v>15</v>
      </c>
      <c r="P436" s="79">
        <v>5</v>
      </c>
    </row>
    <row r="437" spans="1:16" ht="12.75">
      <c r="A437" s="83">
        <v>38125</v>
      </c>
      <c r="B437" s="80">
        <v>0.75</v>
      </c>
      <c r="C437" s="78">
        <v>19</v>
      </c>
      <c r="D437" s="79">
        <v>3</v>
      </c>
      <c r="G437" s="83">
        <v>38125</v>
      </c>
      <c r="H437" s="80">
        <v>0.75</v>
      </c>
      <c r="I437" s="78">
        <v>27</v>
      </c>
      <c r="J437" s="79">
        <v>3</v>
      </c>
      <c r="M437" s="83">
        <v>38125</v>
      </c>
      <c r="N437" s="80">
        <v>0.75</v>
      </c>
      <c r="O437" s="78">
        <v>15</v>
      </c>
      <c r="P437" s="79">
        <v>5</v>
      </c>
    </row>
    <row r="438" spans="1:16" ht="12.75">
      <c r="A438" s="83">
        <v>38125</v>
      </c>
      <c r="B438" s="80">
        <v>0.7916666666666666</v>
      </c>
      <c r="C438" s="78">
        <v>15</v>
      </c>
      <c r="D438" s="79">
        <v>5</v>
      </c>
      <c r="G438" s="83">
        <v>38125</v>
      </c>
      <c r="H438" s="80">
        <v>0.7916666666666666</v>
      </c>
      <c r="I438" s="78">
        <v>25</v>
      </c>
      <c r="J438" s="79">
        <v>0</v>
      </c>
      <c r="M438" s="83">
        <v>38125</v>
      </c>
      <c r="N438" s="80">
        <v>0.7916666666666666</v>
      </c>
      <c r="O438" s="78">
        <v>19</v>
      </c>
      <c r="P438" s="79">
        <v>5</v>
      </c>
    </row>
    <row r="439" spans="1:16" ht="12.75">
      <c r="A439" s="83">
        <v>38125</v>
      </c>
      <c r="B439" s="80">
        <v>0.8333333333333334</v>
      </c>
      <c r="C439" s="78">
        <v>19</v>
      </c>
      <c r="D439" s="79">
        <v>3</v>
      </c>
      <c r="G439" s="83">
        <v>38125</v>
      </c>
      <c r="H439" s="80">
        <v>0.8333333333333334</v>
      </c>
      <c r="I439" s="78">
        <v>19</v>
      </c>
      <c r="J439" s="79">
        <v>0</v>
      </c>
      <c r="M439" s="83">
        <v>38125</v>
      </c>
      <c r="N439" s="80">
        <v>0.8333333333333334</v>
      </c>
      <c r="O439" s="78">
        <v>36</v>
      </c>
      <c r="P439" s="79">
        <v>5</v>
      </c>
    </row>
    <row r="440" spans="1:16" ht="12.75">
      <c r="A440" s="83">
        <v>38125</v>
      </c>
      <c r="B440" s="80">
        <v>0.875</v>
      </c>
      <c r="C440" s="78">
        <v>15</v>
      </c>
      <c r="D440" s="79">
        <v>3</v>
      </c>
      <c r="G440" s="83">
        <v>38125</v>
      </c>
      <c r="H440" s="80">
        <v>0.875</v>
      </c>
      <c r="I440" s="78">
        <v>25</v>
      </c>
      <c r="J440" s="79">
        <v>0</v>
      </c>
      <c r="M440" s="83">
        <v>38125</v>
      </c>
      <c r="N440" s="80">
        <v>0.875</v>
      </c>
      <c r="O440" s="78">
        <v>59</v>
      </c>
      <c r="P440" s="79">
        <v>5</v>
      </c>
    </row>
    <row r="441" spans="1:16" ht="12.75">
      <c r="A441" s="83">
        <v>38125</v>
      </c>
      <c r="B441" s="80">
        <v>0.9166666666666666</v>
      </c>
      <c r="C441" s="78">
        <v>17</v>
      </c>
      <c r="D441" s="79">
        <v>3</v>
      </c>
      <c r="G441" s="83">
        <v>38125</v>
      </c>
      <c r="H441" s="80">
        <v>0.9166666666666666</v>
      </c>
      <c r="I441" s="78">
        <v>17</v>
      </c>
      <c r="J441" s="79">
        <v>0</v>
      </c>
      <c r="M441" s="83">
        <v>38125</v>
      </c>
      <c r="N441" s="80">
        <v>0.9166666666666666</v>
      </c>
      <c r="O441" s="78">
        <v>84</v>
      </c>
      <c r="P441" s="79">
        <v>5</v>
      </c>
    </row>
    <row r="442" spans="1:16" ht="12.75">
      <c r="A442" s="83">
        <v>38125</v>
      </c>
      <c r="B442" s="80">
        <v>0.9583333333333334</v>
      </c>
      <c r="C442" s="78">
        <v>19</v>
      </c>
      <c r="D442" s="79">
        <v>3</v>
      </c>
      <c r="G442" s="83">
        <v>38125</v>
      </c>
      <c r="H442" s="80">
        <v>0.9583333333333334</v>
      </c>
      <c r="I442" s="78">
        <v>6</v>
      </c>
      <c r="J442" s="79">
        <v>0</v>
      </c>
      <c r="M442" s="83">
        <v>38125</v>
      </c>
      <c r="N442" s="80">
        <v>0.9583333333333334</v>
      </c>
      <c r="O442" s="78">
        <v>90</v>
      </c>
      <c r="P442" s="79">
        <v>5</v>
      </c>
    </row>
    <row r="443" spans="1:16" ht="12.75">
      <c r="A443" s="83">
        <v>38125</v>
      </c>
      <c r="B443" s="81">
        <v>1</v>
      </c>
      <c r="C443" s="78">
        <v>10</v>
      </c>
      <c r="D443" s="79">
        <v>3</v>
      </c>
      <c r="G443" s="83">
        <v>38125</v>
      </c>
      <c r="H443" s="81">
        <v>1</v>
      </c>
      <c r="I443" s="78">
        <v>0</v>
      </c>
      <c r="J443" s="79">
        <v>0</v>
      </c>
      <c r="M443" s="83">
        <v>38125</v>
      </c>
      <c r="N443" s="81">
        <v>1</v>
      </c>
      <c r="O443" s="78">
        <v>97</v>
      </c>
      <c r="P443" s="79">
        <v>5</v>
      </c>
    </row>
    <row r="444" spans="1:16" s="92" customFormat="1" ht="12.75">
      <c r="A444" s="90">
        <v>38126</v>
      </c>
      <c r="B444" s="91">
        <v>0.041666666666666664</v>
      </c>
      <c r="C444" s="92">
        <v>13</v>
      </c>
      <c r="D444" s="92">
        <v>3</v>
      </c>
      <c r="G444" s="90">
        <v>38126</v>
      </c>
      <c r="H444" s="91">
        <v>0.041666666666666664</v>
      </c>
      <c r="I444" s="92">
        <v>0</v>
      </c>
      <c r="J444" s="92">
        <v>0</v>
      </c>
      <c r="M444" s="90">
        <v>38126</v>
      </c>
      <c r="N444" s="91">
        <v>0.041666666666666664</v>
      </c>
      <c r="O444" s="92">
        <v>61</v>
      </c>
      <c r="P444" s="92">
        <v>3</v>
      </c>
    </row>
    <row r="445" spans="1:16" ht="12.75">
      <c r="A445" s="83">
        <v>38126</v>
      </c>
      <c r="B445" s="80">
        <v>0.08333333333333333</v>
      </c>
      <c r="C445" s="78">
        <v>8</v>
      </c>
      <c r="D445" s="79">
        <v>0</v>
      </c>
      <c r="G445" s="83">
        <v>38126</v>
      </c>
      <c r="H445" s="80">
        <v>0.08333333333333333</v>
      </c>
      <c r="I445" s="78">
        <v>2</v>
      </c>
      <c r="J445" s="79">
        <v>0</v>
      </c>
      <c r="M445" s="83">
        <v>38126</v>
      </c>
      <c r="N445" s="80">
        <v>0.08333333333333333</v>
      </c>
      <c r="O445" s="78">
        <v>69</v>
      </c>
      <c r="P445" s="79">
        <v>3</v>
      </c>
    </row>
    <row r="446" spans="1:16" ht="12.75">
      <c r="A446" s="83">
        <v>38126</v>
      </c>
      <c r="B446" s="80">
        <v>0.125</v>
      </c>
      <c r="C446" s="78">
        <v>8</v>
      </c>
      <c r="D446" s="79">
        <v>0</v>
      </c>
      <c r="G446" s="83">
        <v>38126</v>
      </c>
      <c r="H446" s="80">
        <v>0.125</v>
      </c>
      <c r="I446" s="78">
        <v>0</v>
      </c>
      <c r="J446" s="79">
        <v>0</v>
      </c>
      <c r="M446" s="83">
        <v>38126</v>
      </c>
      <c r="N446" s="80">
        <v>0.125</v>
      </c>
      <c r="O446" s="78">
        <v>65</v>
      </c>
      <c r="P446" s="79">
        <v>3</v>
      </c>
    </row>
    <row r="447" spans="1:16" ht="12.75">
      <c r="A447" s="83">
        <v>38126</v>
      </c>
      <c r="B447" s="80">
        <v>0.16666666666666666</v>
      </c>
      <c r="C447" s="78">
        <v>10</v>
      </c>
      <c r="D447" s="79">
        <v>3</v>
      </c>
      <c r="G447" s="83">
        <v>38126</v>
      </c>
      <c r="H447" s="80">
        <v>0.16666666666666666</v>
      </c>
      <c r="I447" s="78">
        <v>0</v>
      </c>
      <c r="J447" s="79">
        <v>0</v>
      </c>
      <c r="M447" s="83">
        <v>38126</v>
      </c>
      <c r="N447" s="80">
        <v>0.16666666666666666</v>
      </c>
      <c r="O447" s="78">
        <v>74</v>
      </c>
      <c r="P447" s="79">
        <v>3</v>
      </c>
    </row>
    <row r="448" spans="1:16" ht="12.75">
      <c r="A448" s="83">
        <v>38126</v>
      </c>
      <c r="B448" s="80">
        <v>0.20833333333333334</v>
      </c>
      <c r="C448" s="78">
        <v>23</v>
      </c>
      <c r="D448" s="79">
        <v>3</v>
      </c>
      <c r="G448" s="83">
        <v>38126</v>
      </c>
      <c r="H448" s="80">
        <v>0.20833333333333334</v>
      </c>
      <c r="I448" s="78">
        <v>0</v>
      </c>
      <c r="J448" s="79">
        <v>0</v>
      </c>
      <c r="M448" s="83">
        <v>38126</v>
      </c>
      <c r="N448" s="80">
        <v>0.20833333333333334</v>
      </c>
      <c r="O448" s="78">
        <v>57</v>
      </c>
      <c r="P448" s="79">
        <v>3</v>
      </c>
    </row>
    <row r="449" spans="1:16" ht="12.75">
      <c r="A449" s="83">
        <v>38126</v>
      </c>
      <c r="B449" s="80">
        <v>0.25</v>
      </c>
      <c r="C449" s="78">
        <v>23</v>
      </c>
      <c r="D449" s="79">
        <v>3</v>
      </c>
      <c r="G449" s="83">
        <v>38126</v>
      </c>
      <c r="H449" s="80">
        <v>0.25</v>
      </c>
      <c r="I449" s="78">
        <v>13</v>
      </c>
      <c r="J449" s="79">
        <v>0</v>
      </c>
      <c r="M449" s="83">
        <v>38126</v>
      </c>
      <c r="N449" s="80">
        <v>0.25</v>
      </c>
      <c r="O449" s="78">
        <v>44</v>
      </c>
      <c r="P449" s="79">
        <v>3</v>
      </c>
    </row>
    <row r="450" spans="1:16" ht="12.75">
      <c r="A450" s="83">
        <v>38126</v>
      </c>
      <c r="B450" s="80">
        <v>0.2916666666666667</v>
      </c>
      <c r="C450" s="78">
        <v>21</v>
      </c>
      <c r="D450" s="79">
        <v>5</v>
      </c>
      <c r="G450" s="83">
        <v>38126</v>
      </c>
      <c r="H450" s="80">
        <v>0.2916666666666667</v>
      </c>
      <c r="I450" s="78">
        <v>29</v>
      </c>
      <c r="J450" s="79">
        <v>0</v>
      </c>
      <c r="M450" s="83">
        <v>38126</v>
      </c>
      <c r="N450" s="80">
        <v>0.2916666666666667</v>
      </c>
      <c r="O450" s="78">
        <v>46</v>
      </c>
      <c r="P450" s="79">
        <v>5</v>
      </c>
    </row>
    <row r="451" spans="1:16" ht="12.75">
      <c r="A451" s="83">
        <v>38126</v>
      </c>
      <c r="B451" s="80">
        <v>0.3333333333333333</v>
      </c>
      <c r="C451" s="78">
        <v>29</v>
      </c>
      <c r="D451" s="79">
        <v>5</v>
      </c>
      <c r="G451" s="83">
        <v>38126</v>
      </c>
      <c r="H451" s="80">
        <v>0.3333333333333333</v>
      </c>
      <c r="I451" s="78">
        <v>38</v>
      </c>
      <c r="J451" s="79">
        <v>0</v>
      </c>
      <c r="M451" s="83">
        <v>38126</v>
      </c>
      <c r="N451" s="80">
        <v>0.3333333333333333</v>
      </c>
      <c r="O451" s="78">
        <v>36</v>
      </c>
      <c r="P451" s="79">
        <v>5</v>
      </c>
    </row>
    <row r="452" spans="1:16" ht="12.75">
      <c r="A452" s="83">
        <v>38126</v>
      </c>
      <c r="B452" s="80">
        <v>0.375</v>
      </c>
      <c r="C452" s="78">
        <v>32</v>
      </c>
      <c r="D452" s="79">
        <v>5</v>
      </c>
      <c r="G452" s="83">
        <v>38126</v>
      </c>
      <c r="H452" s="80">
        <v>0.375</v>
      </c>
      <c r="I452" s="78">
        <v>36</v>
      </c>
      <c r="J452" s="79">
        <v>0</v>
      </c>
      <c r="M452" s="83">
        <v>38126</v>
      </c>
      <c r="N452" s="80">
        <v>0.375</v>
      </c>
      <c r="O452" s="78">
        <v>27</v>
      </c>
      <c r="P452" s="79">
        <v>8</v>
      </c>
    </row>
    <row r="453" spans="1:16" ht="12.75">
      <c r="A453" s="83">
        <v>38126</v>
      </c>
      <c r="B453" s="80">
        <v>0.4166666666666667</v>
      </c>
      <c r="C453" s="78">
        <v>25</v>
      </c>
      <c r="D453" s="79">
        <v>3</v>
      </c>
      <c r="G453" s="83">
        <v>38126</v>
      </c>
      <c r="H453" s="80">
        <v>0.4166666666666667</v>
      </c>
      <c r="I453" s="78">
        <v>25</v>
      </c>
      <c r="J453" s="79">
        <v>0</v>
      </c>
      <c r="M453" s="83">
        <v>38126</v>
      </c>
      <c r="N453" s="80">
        <v>0.4166666666666667</v>
      </c>
      <c r="O453" s="78">
        <v>23</v>
      </c>
      <c r="P453" s="79">
        <v>5</v>
      </c>
    </row>
    <row r="454" spans="1:16" ht="12.75">
      <c r="A454" s="83">
        <v>38126</v>
      </c>
      <c r="B454" s="80">
        <v>0.4583333333333333</v>
      </c>
      <c r="C454" s="78">
        <v>19</v>
      </c>
      <c r="D454" s="79">
        <v>3</v>
      </c>
      <c r="G454" s="83">
        <v>38126</v>
      </c>
      <c r="H454" s="80">
        <v>0.4583333333333333</v>
      </c>
      <c r="I454" s="78">
        <v>25</v>
      </c>
      <c r="J454" s="79">
        <v>0</v>
      </c>
      <c r="M454" s="83">
        <v>38126</v>
      </c>
      <c r="N454" s="80">
        <v>0.4583333333333333</v>
      </c>
      <c r="O454" s="78">
        <v>21</v>
      </c>
      <c r="P454" s="79">
        <v>3</v>
      </c>
    </row>
    <row r="455" spans="1:16" ht="12.75">
      <c r="A455" s="83">
        <v>38126</v>
      </c>
      <c r="B455" s="80">
        <v>0.5</v>
      </c>
      <c r="C455" s="78">
        <v>17</v>
      </c>
      <c r="D455" s="79">
        <v>0</v>
      </c>
      <c r="G455" s="83">
        <v>38126</v>
      </c>
      <c r="H455" s="80">
        <v>0.5</v>
      </c>
      <c r="I455" s="78">
        <v>25</v>
      </c>
      <c r="J455" s="79">
        <v>0</v>
      </c>
      <c r="M455" s="83">
        <v>38126</v>
      </c>
      <c r="N455" s="80">
        <v>0.5</v>
      </c>
      <c r="O455" s="78">
        <v>17</v>
      </c>
      <c r="P455" s="79">
        <v>0</v>
      </c>
    </row>
    <row r="456" spans="1:16" ht="12.75">
      <c r="A456" s="83">
        <v>38126</v>
      </c>
      <c r="B456" s="80">
        <v>0.5416666666666666</v>
      </c>
      <c r="C456" s="78">
        <v>17</v>
      </c>
      <c r="D456" s="79">
        <v>3</v>
      </c>
      <c r="G456" s="83">
        <v>38126</v>
      </c>
      <c r="H456" s="80">
        <v>0.5416666666666666</v>
      </c>
      <c r="I456" s="78">
        <v>21</v>
      </c>
      <c r="J456" s="79">
        <v>0</v>
      </c>
      <c r="M456" s="83">
        <v>38126</v>
      </c>
      <c r="N456" s="80">
        <v>0.5416666666666666</v>
      </c>
      <c r="O456" s="78">
        <v>11</v>
      </c>
      <c r="P456" s="79">
        <v>0</v>
      </c>
    </row>
    <row r="457" spans="1:16" ht="12.75">
      <c r="A457" s="83">
        <v>38126</v>
      </c>
      <c r="B457" s="80">
        <v>0.5833333333333334</v>
      </c>
      <c r="C457" s="78">
        <v>15</v>
      </c>
      <c r="D457" s="79">
        <v>3</v>
      </c>
      <c r="G457" s="83">
        <v>38126</v>
      </c>
      <c r="H457" s="80">
        <v>0.5833333333333334</v>
      </c>
      <c r="I457" s="78">
        <v>17</v>
      </c>
      <c r="J457" s="79">
        <v>0</v>
      </c>
      <c r="M457" s="83">
        <v>38126</v>
      </c>
      <c r="N457" s="80">
        <v>0.5833333333333334</v>
      </c>
      <c r="O457" s="78">
        <v>13</v>
      </c>
      <c r="P457" s="79">
        <v>0</v>
      </c>
    </row>
    <row r="458" spans="1:16" ht="12.75">
      <c r="A458" s="83">
        <v>38126</v>
      </c>
      <c r="B458" s="80">
        <v>0.625</v>
      </c>
      <c r="C458" s="78">
        <v>15</v>
      </c>
      <c r="D458" s="79">
        <v>3</v>
      </c>
      <c r="G458" s="83">
        <v>38126</v>
      </c>
      <c r="H458" s="80">
        <v>0.625</v>
      </c>
      <c r="I458" s="78">
        <v>32</v>
      </c>
      <c r="J458" s="79">
        <v>16</v>
      </c>
      <c r="M458" s="83">
        <v>38126</v>
      </c>
      <c r="N458" s="80">
        <v>0.625</v>
      </c>
      <c r="O458" s="78">
        <v>17</v>
      </c>
      <c r="P458" s="79">
        <v>3</v>
      </c>
    </row>
    <row r="459" spans="1:16" ht="12.75">
      <c r="A459" s="83">
        <v>38126</v>
      </c>
      <c r="B459" s="80">
        <v>0.6666666666666666</v>
      </c>
      <c r="C459" s="78">
        <v>19</v>
      </c>
      <c r="D459" s="79">
        <v>3</v>
      </c>
      <c r="G459" s="83">
        <v>38126</v>
      </c>
      <c r="H459" s="80">
        <v>0.6666666666666666</v>
      </c>
      <c r="I459" s="78">
        <v>25</v>
      </c>
      <c r="J459" s="79">
        <v>3</v>
      </c>
      <c r="M459" s="83">
        <v>38126</v>
      </c>
      <c r="N459" s="80">
        <v>0.6666666666666666</v>
      </c>
      <c r="O459" s="78">
        <v>13</v>
      </c>
      <c r="P459" s="79">
        <v>3</v>
      </c>
    </row>
    <row r="460" spans="1:16" ht="12.75">
      <c r="A460" s="83">
        <v>38126</v>
      </c>
      <c r="B460" s="80">
        <v>0.7083333333333334</v>
      </c>
      <c r="C460" s="78">
        <v>19</v>
      </c>
      <c r="D460" s="79">
        <v>3</v>
      </c>
      <c r="G460" s="83">
        <v>38126</v>
      </c>
      <c r="H460" s="80">
        <v>0.7083333333333334</v>
      </c>
      <c r="I460" s="78">
        <v>23</v>
      </c>
      <c r="J460" s="79">
        <v>0</v>
      </c>
      <c r="M460" s="83">
        <v>38126</v>
      </c>
      <c r="N460" s="80">
        <v>0.7083333333333334</v>
      </c>
      <c r="O460" s="78">
        <v>21</v>
      </c>
      <c r="P460" s="79">
        <v>3</v>
      </c>
    </row>
    <row r="461" spans="1:16" ht="12.75">
      <c r="A461" s="83">
        <v>38126</v>
      </c>
      <c r="B461" s="80">
        <v>0.75</v>
      </c>
      <c r="C461" s="78">
        <v>17</v>
      </c>
      <c r="D461" s="79">
        <v>5</v>
      </c>
      <c r="G461" s="83">
        <v>38126</v>
      </c>
      <c r="H461" s="80">
        <v>0.75</v>
      </c>
      <c r="I461" s="78">
        <v>23</v>
      </c>
      <c r="J461" s="79">
        <v>0</v>
      </c>
      <c r="M461" s="83">
        <v>38126</v>
      </c>
      <c r="N461" s="80">
        <v>0.75</v>
      </c>
      <c r="O461" s="78">
        <v>19</v>
      </c>
      <c r="P461" s="79">
        <v>3</v>
      </c>
    </row>
    <row r="462" spans="1:16" ht="12.75">
      <c r="A462" s="83">
        <v>38126</v>
      </c>
      <c r="B462" s="80">
        <v>0.7916666666666666</v>
      </c>
      <c r="C462" s="78">
        <v>13</v>
      </c>
      <c r="D462" s="79">
        <v>8</v>
      </c>
      <c r="G462" s="83">
        <v>38126</v>
      </c>
      <c r="H462" s="80">
        <v>0.7916666666666666</v>
      </c>
      <c r="I462" s="78">
        <v>27</v>
      </c>
      <c r="J462" s="79">
        <v>0</v>
      </c>
      <c r="M462" s="83">
        <v>38126</v>
      </c>
      <c r="N462" s="80">
        <v>0.7916666666666666</v>
      </c>
      <c r="O462" s="78">
        <v>13</v>
      </c>
      <c r="P462" s="79">
        <v>0</v>
      </c>
    </row>
    <row r="463" spans="1:16" ht="12.75">
      <c r="A463" s="83">
        <v>38126</v>
      </c>
      <c r="B463" s="80">
        <v>0.8333333333333334</v>
      </c>
      <c r="C463" s="78">
        <v>19</v>
      </c>
      <c r="D463" s="79">
        <v>8</v>
      </c>
      <c r="G463" s="83">
        <v>38126</v>
      </c>
      <c r="H463" s="80">
        <v>0.8333333333333334</v>
      </c>
      <c r="I463" s="78">
        <v>25</v>
      </c>
      <c r="J463" s="79">
        <v>0</v>
      </c>
      <c r="M463" s="83">
        <v>38126</v>
      </c>
      <c r="N463" s="80">
        <v>0.8333333333333334</v>
      </c>
      <c r="O463" s="78">
        <v>25</v>
      </c>
      <c r="P463" s="79">
        <v>0</v>
      </c>
    </row>
    <row r="464" spans="1:16" ht="12.75">
      <c r="A464" s="83">
        <v>38126</v>
      </c>
      <c r="B464" s="80">
        <v>0.875</v>
      </c>
      <c r="C464" s="78">
        <v>15</v>
      </c>
      <c r="D464" s="79">
        <v>5</v>
      </c>
      <c r="G464" s="83">
        <v>38126</v>
      </c>
      <c r="H464" s="80">
        <v>0.875</v>
      </c>
      <c r="I464" s="78">
        <v>25</v>
      </c>
      <c r="J464" s="79">
        <v>0</v>
      </c>
      <c r="M464" s="83">
        <v>38126</v>
      </c>
      <c r="N464" s="80">
        <v>0.875</v>
      </c>
      <c r="O464" s="78">
        <v>44</v>
      </c>
      <c r="P464" s="79">
        <v>0</v>
      </c>
    </row>
    <row r="465" spans="1:16" ht="12.75">
      <c r="A465" s="83">
        <v>38126</v>
      </c>
      <c r="B465" s="80">
        <v>0.9166666666666666</v>
      </c>
      <c r="C465" s="78">
        <v>13</v>
      </c>
      <c r="D465" s="79">
        <v>3</v>
      </c>
      <c r="G465" s="83">
        <v>38126</v>
      </c>
      <c r="H465" s="80">
        <v>0.9166666666666666</v>
      </c>
      <c r="I465" s="78">
        <v>27</v>
      </c>
      <c r="J465" s="79">
        <v>0</v>
      </c>
      <c r="M465" s="83">
        <v>38126</v>
      </c>
      <c r="N465" s="80">
        <v>0.9166666666666666</v>
      </c>
      <c r="O465" s="78">
        <v>59</v>
      </c>
      <c r="P465" s="79">
        <v>3</v>
      </c>
    </row>
    <row r="466" spans="1:16" ht="12.75">
      <c r="A466" s="83">
        <v>38126</v>
      </c>
      <c r="B466" s="80">
        <v>0.9583333333333334</v>
      </c>
      <c r="C466" s="78">
        <v>17</v>
      </c>
      <c r="D466" s="79">
        <v>3</v>
      </c>
      <c r="G466" s="83">
        <v>38126</v>
      </c>
      <c r="H466" s="80">
        <v>0.9583333333333334</v>
      </c>
      <c r="I466" s="78">
        <v>34</v>
      </c>
      <c r="J466" s="79">
        <v>0</v>
      </c>
      <c r="M466" s="83">
        <v>38126</v>
      </c>
      <c r="N466" s="80">
        <v>0.9583333333333334</v>
      </c>
      <c r="O466" s="78">
        <v>44</v>
      </c>
      <c r="P466" s="79">
        <v>3</v>
      </c>
    </row>
    <row r="467" spans="1:16" ht="12.75">
      <c r="A467" s="83">
        <v>38126</v>
      </c>
      <c r="B467" s="81">
        <v>1</v>
      </c>
      <c r="C467" s="78">
        <v>11</v>
      </c>
      <c r="D467" s="79">
        <v>3</v>
      </c>
      <c r="G467" s="83">
        <v>38126</v>
      </c>
      <c r="H467" s="81">
        <v>1</v>
      </c>
      <c r="I467" s="78">
        <v>25</v>
      </c>
      <c r="J467" s="79">
        <v>0</v>
      </c>
      <c r="M467" s="83">
        <v>38126</v>
      </c>
      <c r="N467" s="81">
        <v>1</v>
      </c>
      <c r="O467" s="78">
        <v>23</v>
      </c>
      <c r="P467" s="79">
        <v>3</v>
      </c>
    </row>
    <row r="468" spans="1:16" s="92" customFormat="1" ht="12.75">
      <c r="A468" s="90">
        <v>38127</v>
      </c>
      <c r="B468" s="91">
        <v>0.041666666666666664</v>
      </c>
      <c r="C468" s="92">
        <v>11</v>
      </c>
      <c r="D468" s="92">
        <v>3</v>
      </c>
      <c r="G468" s="90">
        <v>38127</v>
      </c>
      <c r="H468" s="91">
        <v>0.041666666666666664</v>
      </c>
      <c r="I468" s="92">
        <v>23</v>
      </c>
      <c r="J468" s="92">
        <v>0</v>
      </c>
      <c r="M468" s="90">
        <v>38127</v>
      </c>
      <c r="N468" s="91">
        <v>0.041666666666666664</v>
      </c>
      <c r="O468" s="92">
        <v>21</v>
      </c>
      <c r="P468" s="92">
        <v>3</v>
      </c>
    </row>
    <row r="469" spans="1:16" ht="12.75">
      <c r="A469" s="83">
        <v>38127</v>
      </c>
      <c r="B469" s="80">
        <v>0.08333333333333333</v>
      </c>
      <c r="C469" s="78">
        <v>21</v>
      </c>
      <c r="D469" s="79">
        <v>3</v>
      </c>
      <c r="G469" s="83">
        <v>38127</v>
      </c>
      <c r="H469" s="80">
        <v>0.08333333333333333</v>
      </c>
      <c r="I469" s="78">
        <v>17</v>
      </c>
      <c r="J469" s="79">
        <v>0</v>
      </c>
      <c r="M469" s="83">
        <v>38127</v>
      </c>
      <c r="N469" s="80">
        <v>0.08333333333333333</v>
      </c>
      <c r="O469" s="78">
        <v>23</v>
      </c>
      <c r="P469" s="79">
        <v>3</v>
      </c>
    </row>
    <row r="470" spans="1:16" ht="12.75">
      <c r="A470" s="83">
        <v>38127</v>
      </c>
      <c r="B470" s="80">
        <v>0.125</v>
      </c>
      <c r="C470" s="78">
        <v>15</v>
      </c>
      <c r="D470" s="79">
        <v>0</v>
      </c>
      <c r="G470" s="83">
        <v>38127</v>
      </c>
      <c r="H470" s="80">
        <v>0.125</v>
      </c>
      <c r="I470" s="78">
        <v>15</v>
      </c>
      <c r="J470" s="79">
        <v>0</v>
      </c>
      <c r="M470" s="83">
        <v>38127</v>
      </c>
      <c r="N470" s="80">
        <v>0.125</v>
      </c>
      <c r="O470" s="78">
        <v>19</v>
      </c>
      <c r="P470" s="79">
        <v>3</v>
      </c>
    </row>
    <row r="471" spans="1:16" ht="12.75">
      <c r="A471" s="83">
        <v>38127</v>
      </c>
      <c r="B471" s="80">
        <v>0.16666666666666666</v>
      </c>
      <c r="C471" s="78">
        <v>19</v>
      </c>
      <c r="D471" s="79">
        <v>0</v>
      </c>
      <c r="G471" s="83">
        <v>38127</v>
      </c>
      <c r="H471" s="80">
        <v>0.16666666666666666</v>
      </c>
      <c r="I471" s="78">
        <v>11</v>
      </c>
      <c r="J471" s="79">
        <v>0</v>
      </c>
      <c r="M471" s="83">
        <v>38127</v>
      </c>
      <c r="N471" s="80">
        <v>0.16666666666666666</v>
      </c>
      <c r="O471" s="78">
        <v>23</v>
      </c>
      <c r="P471" s="79">
        <v>3</v>
      </c>
    </row>
    <row r="472" spans="1:16" ht="12.75">
      <c r="A472" s="83">
        <v>38127</v>
      </c>
      <c r="B472" s="80">
        <v>0.20833333333333334</v>
      </c>
      <c r="C472" s="78">
        <v>21</v>
      </c>
      <c r="D472" s="79">
        <v>0</v>
      </c>
      <c r="G472" s="83">
        <v>38127</v>
      </c>
      <c r="H472" s="80">
        <v>0.20833333333333334</v>
      </c>
      <c r="I472" s="78">
        <v>17</v>
      </c>
      <c r="J472" s="79">
        <v>0</v>
      </c>
      <c r="M472" s="83">
        <v>38127</v>
      </c>
      <c r="N472" s="80">
        <v>0.20833333333333334</v>
      </c>
      <c r="O472" s="78">
        <v>27</v>
      </c>
      <c r="P472" s="79">
        <v>3</v>
      </c>
    </row>
    <row r="473" spans="1:16" ht="12.75">
      <c r="A473" s="83">
        <v>38127</v>
      </c>
      <c r="B473" s="80">
        <v>0.25</v>
      </c>
      <c r="C473" s="78">
        <v>21</v>
      </c>
      <c r="D473" s="79">
        <v>3</v>
      </c>
      <c r="G473" s="83">
        <v>38127</v>
      </c>
      <c r="H473" s="80">
        <v>0.25</v>
      </c>
      <c r="I473" s="78">
        <v>27</v>
      </c>
      <c r="J473" s="79">
        <v>0</v>
      </c>
      <c r="M473" s="83">
        <v>38127</v>
      </c>
      <c r="N473" s="80">
        <v>0.25</v>
      </c>
      <c r="O473" s="78">
        <v>34</v>
      </c>
      <c r="P473" s="79">
        <v>5</v>
      </c>
    </row>
    <row r="474" spans="1:16" ht="12.75">
      <c r="A474" s="83">
        <v>38127</v>
      </c>
      <c r="B474" s="80">
        <v>0.2916666666666667</v>
      </c>
      <c r="C474" s="78">
        <v>29</v>
      </c>
      <c r="D474" s="79">
        <v>3</v>
      </c>
      <c r="G474" s="83">
        <v>38127</v>
      </c>
      <c r="H474" s="80">
        <v>0.2916666666666667</v>
      </c>
      <c r="I474" s="78">
        <v>36</v>
      </c>
      <c r="J474" s="79">
        <v>3</v>
      </c>
      <c r="M474" s="83">
        <v>38127</v>
      </c>
      <c r="N474" s="80">
        <v>0.2916666666666667</v>
      </c>
      <c r="O474" s="78">
        <v>40</v>
      </c>
      <c r="P474" s="79">
        <v>5</v>
      </c>
    </row>
    <row r="475" spans="1:16" ht="12.75">
      <c r="A475" s="83">
        <v>38127</v>
      </c>
      <c r="B475" s="80">
        <v>0.3333333333333333</v>
      </c>
      <c r="C475" s="78">
        <v>29</v>
      </c>
      <c r="D475" s="79">
        <v>3</v>
      </c>
      <c r="G475" s="83">
        <v>38127</v>
      </c>
      <c r="H475" s="80">
        <v>0.3333333333333333</v>
      </c>
      <c r="I475" s="78">
        <v>40</v>
      </c>
      <c r="J475" s="79">
        <v>8</v>
      </c>
      <c r="M475" s="83">
        <v>38127</v>
      </c>
      <c r="N475" s="80">
        <v>0.3333333333333333</v>
      </c>
      <c r="O475" s="78">
        <v>38</v>
      </c>
      <c r="P475" s="79">
        <v>8</v>
      </c>
    </row>
    <row r="476" spans="1:16" ht="12.75">
      <c r="A476" s="83">
        <v>38127</v>
      </c>
      <c r="B476" s="80">
        <v>0.375</v>
      </c>
      <c r="C476" s="78">
        <v>23</v>
      </c>
      <c r="D476" s="79">
        <v>3</v>
      </c>
      <c r="G476" s="83">
        <v>38127</v>
      </c>
      <c r="H476" s="80">
        <v>0.375</v>
      </c>
      <c r="I476" s="78">
        <v>36</v>
      </c>
      <c r="J476" s="79">
        <v>16</v>
      </c>
      <c r="M476" s="83">
        <v>38127</v>
      </c>
      <c r="N476" s="80">
        <v>0.375</v>
      </c>
      <c r="O476" s="78">
        <v>29</v>
      </c>
      <c r="P476" s="79">
        <v>5</v>
      </c>
    </row>
    <row r="477" spans="1:16" ht="12.75">
      <c r="A477" s="83">
        <v>38127</v>
      </c>
      <c r="B477" s="80">
        <v>0.4166666666666667</v>
      </c>
      <c r="C477" s="78">
        <v>23</v>
      </c>
      <c r="D477" s="79">
        <v>3</v>
      </c>
      <c r="G477" s="83">
        <v>38127</v>
      </c>
      <c r="H477" s="80">
        <v>0.4166666666666667</v>
      </c>
      <c r="I477" s="78">
        <v>25</v>
      </c>
      <c r="J477" s="79">
        <v>8</v>
      </c>
      <c r="M477" s="83">
        <v>38127</v>
      </c>
      <c r="N477" s="80">
        <v>0.4166666666666667</v>
      </c>
      <c r="O477" s="78">
        <v>23</v>
      </c>
      <c r="P477" s="79">
        <v>5</v>
      </c>
    </row>
    <row r="478" spans="1:16" ht="12.75">
      <c r="A478" s="83">
        <v>38127</v>
      </c>
      <c r="B478" s="80">
        <v>0.4583333333333333</v>
      </c>
      <c r="C478" s="78">
        <v>27</v>
      </c>
      <c r="D478" s="79">
        <v>3</v>
      </c>
      <c r="G478" s="83">
        <v>38127</v>
      </c>
      <c r="H478" s="80">
        <v>0.4583333333333333</v>
      </c>
      <c r="I478" s="78">
        <v>23</v>
      </c>
      <c r="J478" s="79">
        <v>5</v>
      </c>
      <c r="M478" s="83">
        <v>38127</v>
      </c>
      <c r="N478" s="80">
        <v>0.4583333333333333</v>
      </c>
      <c r="O478" s="78">
        <v>23</v>
      </c>
      <c r="P478" s="79">
        <v>3</v>
      </c>
    </row>
    <row r="479" spans="1:16" ht="12.75">
      <c r="A479" s="83">
        <v>38127</v>
      </c>
      <c r="B479" s="80">
        <v>0.5</v>
      </c>
      <c r="C479" s="78">
        <v>25</v>
      </c>
      <c r="D479" s="79">
        <v>3</v>
      </c>
      <c r="G479" s="83">
        <v>38127</v>
      </c>
      <c r="H479" s="80">
        <v>0.5</v>
      </c>
      <c r="I479" s="78">
        <v>21</v>
      </c>
      <c r="J479" s="79">
        <v>8</v>
      </c>
      <c r="M479" s="83">
        <v>38127</v>
      </c>
      <c r="N479" s="80">
        <v>0.5</v>
      </c>
      <c r="O479" s="78">
        <v>17</v>
      </c>
      <c r="P479" s="79">
        <v>5</v>
      </c>
    </row>
    <row r="480" spans="1:16" ht="12.75">
      <c r="A480" s="83">
        <v>38127</v>
      </c>
      <c r="B480" s="80">
        <v>0.5416666666666666</v>
      </c>
      <c r="C480" s="78">
        <v>19</v>
      </c>
      <c r="D480" s="79">
        <v>3</v>
      </c>
      <c r="G480" s="83">
        <v>38127</v>
      </c>
      <c r="H480" s="80">
        <v>0.5416666666666666</v>
      </c>
      <c r="I480" s="78">
        <v>27</v>
      </c>
      <c r="J480" s="79">
        <v>16</v>
      </c>
      <c r="M480" s="83">
        <v>38127</v>
      </c>
      <c r="N480" s="80">
        <v>0.5416666666666666</v>
      </c>
      <c r="O480" s="78">
        <v>19</v>
      </c>
      <c r="P480" s="79">
        <v>5</v>
      </c>
    </row>
    <row r="481" spans="1:16" ht="12.75">
      <c r="A481" s="83">
        <v>38127</v>
      </c>
      <c r="B481" s="80">
        <v>0.5833333333333334</v>
      </c>
      <c r="C481" s="78">
        <v>27</v>
      </c>
      <c r="D481" s="79">
        <v>3</v>
      </c>
      <c r="G481" s="83">
        <v>38127</v>
      </c>
      <c r="H481" s="80">
        <v>0.5833333333333334</v>
      </c>
      <c r="I481" s="78">
        <v>36</v>
      </c>
      <c r="J481" s="79">
        <v>11</v>
      </c>
      <c r="M481" s="83">
        <v>38127</v>
      </c>
      <c r="N481" s="80">
        <v>0.5833333333333334</v>
      </c>
      <c r="O481" s="78">
        <v>15</v>
      </c>
      <c r="P481" s="79">
        <v>5</v>
      </c>
    </row>
    <row r="482" spans="1:16" ht="12.75">
      <c r="A482" s="83">
        <v>38127</v>
      </c>
      <c r="B482" s="80">
        <v>0.625</v>
      </c>
      <c r="C482" s="78">
        <v>31</v>
      </c>
      <c r="D482" s="79">
        <v>3</v>
      </c>
      <c r="G482" s="83">
        <v>38127</v>
      </c>
      <c r="H482" s="80">
        <v>0.625</v>
      </c>
      <c r="I482" s="78">
        <v>31</v>
      </c>
      <c r="J482" s="79">
        <v>24</v>
      </c>
      <c r="M482" s="83">
        <v>38127</v>
      </c>
      <c r="N482" s="80">
        <v>0.625</v>
      </c>
      <c r="O482" s="78">
        <v>17</v>
      </c>
      <c r="P482" s="79">
        <v>3</v>
      </c>
    </row>
    <row r="483" spans="1:16" ht="12.75">
      <c r="A483" s="83">
        <v>38127</v>
      </c>
      <c r="B483" s="80">
        <v>0.6666666666666666</v>
      </c>
      <c r="C483" s="78">
        <v>31</v>
      </c>
      <c r="D483" s="79">
        <v>3</v>
      </c>
      <c r="G483" s="83">
        <v>38127</v>
      </c>
      <c r="H483" s="80">
        <v>0.6666666666666666</v>
      </c>
      <c r="I483" s="78">
        <v>40</v>
      </c>
      <c r="J483" s="79">
        <v>32</v>
      </c>
      <c r="M483" s="83">
        <v>38127</v>
      </c>
      <c r="N483" s="80">
        <v>0.6666666666666666</v>
      </c>
      <c r="O483" s="78">
        <v>21</v>
      </c>
      <c r="P483" s="79">
        <v>3</v>
      </c>
    </row>
    <row r="484" spans="1:16" ht="12.75">
      <c r="A484" s="83">
        <v>38127</v>
      </c>
      <c r="B484" s="80">
        <v>0.7083333333333334</v>
      </c>
      <c r="C484" s="78">
        <v>25</v>
      </c>
      <c r="D484" s="79">
        <v>3</v>
      </c>
      <c r="G484" s="83">
        <v>38127</v>
      </c>
      <c r="H484" s="80">
        <v>0.7083333333333334</v>
      </c>
      <c r="I484" s="78">
        <v>46</v>
      </c>
      <c r="J484" s="79">
        <v>8</v>
      </c>
      <c r="M484" s="83">
        <v>38127</v>
      </c>
      <c r="N484" s="80">
        <v>0.7083333333333334</v>
      </c>
      <c r="O484" s="78">
        <v>21</v>
      </c>
      <c r="P484" s="79">
        <v>0</v>
      </c>
    </row>
    <row r="485" spans="1:16" ht="12.75">
      <c r="A485" s="83">
        <v>38127</v>
      </c>
      <c r="B485" s="80">
        <v>0.75</v>
      </c>
      <c r="C485" s="78">
        <v>15</v>
      </c>
      <c r="D485" s="79">
        <v>3</v>
      </c>
      <c r="G485" s="83">
        <v>38127</v>
      </c>
      <c r="H485" s="80">
        <v>0.75</v>
      </c>
      <c r="I485" s="78">
        <v>50</v>
      </c>
      <c r="J485" s="79">
        <v>32</v>
      </c>
      <c r="M485" s="83">
        <v>38127</v>
      </c>
      <c r="N485" s="80">
        <v>0.75</v>
      </c>
      <c r="O485" s="78">
        <v>23</v>
      </c>
      <c r="P485" s="79">
        <v>0</v>
      </c>
    </row>
    <row r="486" spans="1:16" ht="12.75">
      <c r="A486" s="83">
        <v>38127</v>
      </c>
      <c r="B486" s="80">
        <v>0.7916666666666666</v>
      </c>
      <c r="C486" s="78">
        <v>13</v>
      </c>
      <c r="D486" s="79">
        <v>3</v>
      </c>
      <c r="G486" s="83">
        <v>38127</v>
      </c>
      <c r="H486" s="80">
        <v>0.7916666666666666</v>
      </c>
      <c r="I486" s="78">
        <v>29</v>
      </c>
      <c r="J486" s="79">
        <v>8</v>
      </c>
      <c r="M486" s="83">
        <v>38127</v>
      </c>
      <c r="N486" s="80">
        <v>0.7916666666666666</v>
      </c>
      <c r="O486" s="78">
        <v>23</v>
      </c>
      <c r="P486" s="79">
        <v>0</v>
      </c>
    </row>
    <row r="487" spans="1:16" ht="12.75">
      <c r="A487" s="83">
        <v>38127</v>
      </c>
      <c r="B487" s="80">
        <v>0.8333333333333334</v>
      </c>
      <c r="C487" s="78">
        <v>11</v>
      </c>
      <c r="D487" s="79">
        <v>0</v>
      </c>
      <c r="G487" s="83">
        <v>38127</v>
      </c>
      <c r="H487" s="80">
        <v>0.8333333333333334</v>
      </c>
      <c r="I487" s="78">
        <v>13</v>
      </c>
      <c r="J487" s="79">
        <v>5</v>
      </c>
      <c r="M487" s="83">
        <v>38127</v>
      </c>
      <c r="N487" s="80">
        <v>0.8333333333333334</v>
      </c>
      <c r="O487" s="78">
        <v>25</v>
      </c>
      <c r="P487" s="79">
        <v>0</v>
      </c>
    </row>
    <row r="488" spans="1:16" ht="12.75">
      <c r="A488" s="83">
        <v>38127</v>
      </c>
      <c r="B488" s="80">
        <v>0.875</v>
      </c>
      <c r="C488" s="78">
        <v>11</v>
      </c>
      <c r="D488" s="79">
        <v>0</v>
      </c>
      <c r="G488" s="83">
        <v>38127</v>
      </c>
      <c r="H488" s="80">
        <v>0.875</v>
      </c>
      <c r="I488" s="78">
        <v>19</v>
      </c>
      <c r="J488" s="79">
        <v>5</v>
      </c>
      <c r="M488" s="83">
        <v>38127</v>
      </c>
      <c r="N488" s="80">
        <v>0.875</v>
      </c>
      <c r="O488" s="78">
        <v>31</v>
      </c>
      <c r="P488" s="79">
        <v>0</v>
      </c>
    </row>
    <row r="489" spans="1:16" ht="12.75">
      <c r="A489" s="83">
        <v>38127</v>
      </c>
      <c r="B489" s="80">
        <v>0.9166666666666666</v>
      </c>
      <c r="C489" s="78">
        <v>11</v>
      </c>
      <c r="D489" s="79">
        <v>0</v>
      </c>
      <c r="G489" s="83">
        <v>38127</v>
      </c>
      <c r="H489" s="80">
        <v>0.9166666666666666</v>
      </c>
      <c r="I489" s="78">
        <v>17</v>
      </c>
      <c r="J489" s="79">
        <v>3</v>
      </c>
      <c r="M489" s="83">
        <v>38127</v>
      </c>
      <c r="N489" s="80">
        <v>0.9166666666666666</v>
      </c>
      <c r="O489" s="78">
        <v>34</v>
      </c>
      <c r="P489" s="79">
        <v>0</v>
      </c>
    </row>
    <row r="490" spans="1:16" ht="12.75">
      <c r="A490" s="83">
        <v>38127</v>
      </c>
      <c r="B490" s="80">
        <v>0.9583333333333334</v>
      </c>
      <c r="C490" s="78">
        <v>13</v>
      </c>
      <c r="D490" s="79">
        <v>0</v>
      </c>
      <c r="G490" s="83">
        <v>38127</v>
      </c>
      <c r="H490" s="80">
        <v>0.9583333333333334</v>
      </c>
      <c r="I490" s="78">
        <v>23</v>
      </c>
      <c r="J490" s="79">
        <v>3</v>
      </c>
      <c r="M490" s="83">
        <v>38127</v>
      </c>
      <c r="N490" s="80">
        <v>0.9583333333333334</v>
      </c>
      <c r="O490" s="78">
        <v>59</v>
      </c>
      <c r="P490" s="79">
        <v>3</v>
      </c>
    </row>
    <row r="491" spans="1:16" ht="12.75">
      <c r="A491" s="83">
        <v>38127</v>
      </c>
      <c r="B491" s="81">
        <v>1</v>
      </c>
      <c r="C491" s="78">
        <v>4</v>
      </c>
      <c r="D491" s="79">
        <v>0</v>
      </c>
      <c r="G491" s="83">
        <v>38127</v>
      </c>
      <c r="H491" s="81">
        <v>1</v>
      </c>
      <c r="I491" s="78">
        <v>6</v>
      </c>
      <c r="J491" s="79">
        <v>3</v>
      </c>
      <c r="M491" s="83">
        <v>38127</v>
      </c>
      <c r="N491" s="81">
        <v>1</v>
      </c>
      <c r="O491" s="78">
        <v>48</v>
      </c>
      <c r="P491" s="79">
        <v>8</v>
      </c>
    </row>
    <row r="492" spans="1:16" s="92" customFormat="1" ht="12.75">
      <c r="A492" s="90">
        <v>38128</v>
      </c>
      <c r="B492" s="91">
        <v>0.041666666666666664</v>
      </c>
      <c r="C492" s="92">
        <v>10</v>
      </c>
      <c r="D492" s="92">
        <v>0</v>
      </c>
      <c r="G492" s="90">
        <v>38128</v>
      </c>
      <c r="H492" s="91">
        <v>0.041666666666666664</v>
      </c>
      <c r="I492" s="92">
        <v>0</v>
      </c>
      <c r="J492" s="92">
        <v>3</v>
      </c>
      <c r="M492" s="90">
        <v>38128</v>
      </c>
      <c r="N492" s="91">
        <v>0.041666666666666664</v>
      </c>
      <c r="O492" s="92">
        <v>15</v>
      </c>
      <c r="P492" s="92">
        <v>0</v>
      </c>
    </row>
    <row r="493" spans="1:16" ht="12.75">
      <c r="A493" s="83">
        <v>38128</v>
      </c>
      <c r="B493" s="80">
        <v>0.08333333333333333</v>
      </c>
      <c r="C493" s="78">
        <v>6</v>
      </c>
      <c r="D493" s="79">
        <v>0</v>
      </c>
      <c r="G493" s="83">
        <v>38128</v>
      </c>
      <c r="H493" s="80">
        <v>0.08333333333333333</v>
      </c>
      <c r="I493" s="78">
        <v>0</v>
      </c>
      <c r="J493" s="79">
        <v>3</v>
      </c>
      <c r="M493" s="83">
        <v>38128</v>
      </c>
      <c r="N493" s="80">
        <v>0.08333333333333333</v>
      </c>
      <c r="O493" s="78">
        <v>17</v>
      </c>
      <c r="P493" s="79">
        <v>0</v>
      </c>
    </row>
    <row r="494" spans="1:16" ht="12.75">
      <c r="A494" s="83">
        <v>38128</v>
      </c>
      <c r="B494" s="80">
        <v>0.125</v>
      </c>
      <c r="C494" s="78">
        <v>4</v>
      </c>
      <c r="D494" s="79">
        <v>0</v>
      </c>
      <c r="G494" s="83">
        <v>38128</v>
      </c>
      <c r="H494" s="80">
        <v>0.125</v>
      </c>
      <c r="I494" s="78">
        <v>0</v>
      </c>
      <c r="J494" s="79">
        <v>3</v>
      </c>
      <c r="M494" s="83">
        <v>38128</v>
      </c>
      <c r="N494" s="80">
        <v>0.125</v>
      </c>
      <c r="O494" s="78">
        <v>19</v>
      </c>
      <c r="P494" s="79">
        <v>0</v>
      </c>
    </row>
    <row r="495" spans="1:16" ht="12.75">
      <c r="A495" s="83">
        <v>38128</v>
      </c>
      <c r="B495" s="80">
        <v>0.16666666666666666</v>
      </c>
      <c r="C495" s="78">
        <v>0</v>
      </c>
      <c r="D495" s="79">
        <v>0</v>
      </c>
      <c r="G495" s="83">
        <v>38128</v>
      </c>
      <c r="H495" s="80">
        <v>0.16666666666666666</v>
      </c>
      <c r="I495" s="78">
        <v>0</v>
      </c>
      <c r="J495" s="79">
        <v>3</v>
      </c>
      <c r="M495" s="83">
        <v>38128</v>
      </c>
      <c r="N495" s="80">
        <v>0.16666666666666666</v>
      </c>
      <c r="O495" s="78">
        <v>27</v>
      </c>
      <c r="P495" s="79">
        <v>0</v>
      </c>
    </row>
    <row r="496" spans="1:16" ht="12.75">
      <c r="A496" s="83">
        <v>38128</v>
      </c>
      <c r="B496" s="80">
        <v>0.20833333333333334</v>
      </c>
      <c r="C496" s="78">
        <v>6</v>
      </c>
      <c r="D496" s="79">
        <v>0</v>
      </c>
      <c r="G496" s="83">
        <v>38128</v>
      </c>
      <c r="H496" s="80">
        <v>0.20833333333333334</v>
      </c>
      <c r="I496" s="78">
        <v>0</v>
      </c>
      <c r="J496" s="79">
        <v>3</v>
      </c>
      <c r="M496" s="83">
        <v>38128</v>
      </c>
      <c r="N496" s="80">
        <v>0.20833333333333334</v>
      </c>
      <c r="O496" s="78">
        <v>21</v>
      </c>
      <c r="P496" s="79">
        <v>0</v>
      </c>
    </row>
    <row r="497" spans="1:16" ht="12.75">
      <c r="A497" s="83">
        <v>38128</v>
      </c>
      <c r="B497" s="80">
        <v>0.25</v>
      </c>
      <c r="C497" s="78">
        <v>8</v>
      </c>
      <c r="D497" s="79">
        <v>0</v>
      </c>
      <c r="G497" s="83">
        <v>38128</v>
      </c>
      <c r="H497" s="80">
        <v>0.25</v>
      </c>
      <c r="I497" s="78">
        <v>8</v>
      </c>
      <c r="J497" s="79">
        <v>3</v>
      </c>
      <c r="M497" s="83">
        <v>38128</v>
      </c>
      <c r="N497" s="80">
        <v>0.25</v>
      </c>
      <c r="O497" s="78">
        <v>25</v>
      </c>
      <c r="P497" s="79">
        <v>3</v>
      </c>
    </row>
    <row r="498" spans="1:16" ht="12.75">
      <c r="A498" s="83">
        <v>38128</v>
      </c>
      <c r="B498" s="80">
        <v>0.2916666666666667</v>
      </c>
      <c r="C498" s="78">
        <v>13</v>
      </c>
      <c r="D498" s="79">
        <v>0</v>
      </c>
      <c r="G498" s="83">
        <v>38128</v>
      </c>
      <c r="H498" s="80">
        <v>0.2916666666666667</v>
      </c>
      <c r="I498" s="78">
        <v>13</v>
      </c>
      <c r="J498" s="79">
        <v>3</v>
      </c>
      <c r="M498" s="83">
        <v>38128</v>
      </c>
      <c r="N498" s="80">
        <v>0.2916666666666667</v>
      </c>
      <c r="O498" s="78">
        <v>31</v>
      </c>
      <c r="P498" s="79">
        <v>3</v>
      </c>
    </row>
    <row r="499" spans="1:16" ht="12.75">
      <c r="A499" s="83">
        <v>38128</v>
      </c>
      <c r="B499" s="80">
        <v>0.3333333333333333</v>
      </c>
      <c r="C499" s="78">
        <v>17</v>
      </c>
      <c r="D499" s="79">
        <v>3</v>
      </c>
      <c r="G499" s="83">
        <v>38128</v>
      </c>
      <c r="H499" s="80">
        <v>0.3333333333333333</v>
      </c>
      <c r="I499" s="78">
        <v>21</v>
      </c>
      <c r="J499" s="79">
        <v>3</v>
      </c>
      <c r="M499" s="83">
        <v>38128</v>
      </c>
      <c r="N499" s="80">
        <v>0.3333333333333333</v>
      </c>
      <c r="O499" s="78">
        <v>34</v>
      </c>
      <c r="P499" s="79">
        <v>0</v>
      </c>
    </row>
    <row r="500" spans="1:16" ht="12.75">
      <c r="A500" s="83">
        <v>38128</v>
      </c>
      <c r="B500" s="80">
        <v>0.375</v>
      </c>
      <c r="C500" s="78">
        <v>11</v>
      </c>
      <c r="D500" s="79">
        <v>3</v>
      </c>
      <c r="G500" s="83">
        <v>38128</v>
      </c>
      <c r="H500" s="80">
        <v>0.375</v>
      </c>
      <c r="I500" s="78">
        <v>29</v>
      </c>
      <c r="J500" s="79">
        <v>3</v>
      </c>
      <c r="M500" s="83">
        <v>38128</v>
      </c>
      <c r="N500" s="80">
        <v>0.375</v>
      </c>
      <c r="O500" s="78">
        <v>32</v>
      </c>
      <c r="P500" s="79">
        <v>0</v>
      </c>
    </row>
    <row r="501" spans="1:16" ht="12.75">
      <c r="A501" s="83">
        <v>38128</v>
      </c>
      <c r="B501" s="80">
        <v>0.4166666666666667</v>
      </c>
      <c r="C501" s="78">
        <v>8</v>
      </c>
      <c r="D501" s="79">
        <v>0</v>
      </c>
      <c r="G501" s="83">
        <v>38128</v>
      </c>
      <c r="H501" s="80">
        <v>0.4166666666666667</v>
      </c>
      <c r="I501" s="78">
        <v>21</v>
      </c>
      <c r="J501" s="79">
        <v>3</v>
      </c>
      <c r="M501" s="83">
        <v>38128</v>
      </c>
      <c r="N501" s="80">
        <v>0.4166666666666667</v>
      </c>
      <c r="O501" s="78">
        <v>17</v>
      </c>
      <c r="P501" s="79">
        <v>0</v>
      </c>
    </row>
    <row r="502" spans="1:16" ht="12.75">
      <c r="A502" s="83">
        <v>38128</v>
      </c>
      <c r="B502" s="80">
        <v>0.4583333333333333</v>
      </c>
      <c r="C502" s="78">
        <v>8</v>
      </c>
      <c r="D502" s="79">
        <v>0</v>
      </c>
      <c r="G502" s="83">
        <v>38128</v>
      </c>
      <c r="H502" s="80">
        <v>0.4583333333333333</v>
      </c>
      <c r="I502" s="78">
        <v>8</v>
      </c>
      <c r="J502" s="79">
        <v>3</v>
      </c>
      <c r="M502" s="83">
        <v>38128</v>
      </c>
      <c r="N502" s="80">
        <v>0.4583333333333333</v>
      </c>
      <c r="O502" s="78">
        <v>15</v>
      </c>
      <c r="P502" s="79">
        <v>0</v>
      </c>
    </row>
    <row r="503" spans="1:16" ht="12.75">
      <c r="A503" s="83">
        <v>38128</v>
      </c>
      <c r="B503" s="80">
        <v>0.5</v>
      </c>
      <c r="C503" s="78">
        <v>6</v>
      </c>
      <c r="D503" s="79">
        <v>0</v>
      </c>
      <c r="G503" s="83">
        <v>38128</v>
      </c>
      <c r="H503" s="80">
        <v>0.5</v>
      </c>
      <c r="I503" s="78">
        <v>13</v>
      </c>
      <c r="J503" s="79">
        <v>3</v>
      </c>
      <c r="M503" s="83">
        <v>38128</v>
      </c>
      <c r="N503" s="80">
        <v>0.5</v>
      </c>
      <c r="O503" s="78">
        <v>11</v>
      </c>
      <c r="P503" s="79">
        <v>0</v>
      </c>
    </row>
    <row r="504" spans="1:16" ht="12.75">
      <c r="A504" s="83">
        <v>38128</v>
      </c>
      <c r="B504" s="80">
        <v>0.5416666666666666</v>
      </c>
      <c r="C504" s="78">
        <v>10</v>
      </c>
      <c r="D504" s="79">
        <v>3</v>
      </c>
      <c r="G504" s="83">
        <v>38128</v>
      </c>
      <c r="H504" s="80">
        <v>0.5416666666666666</v>
      </c>
      <c r="I504" s="78">
        <v>10</v>
      </c>
      <c r="J504" s="79">
        <v>3</v>
      </c>
      <c r="M504" s="83">
        <v>38128</v>
      </c>
      <c r="N504" s="80">
        <v>0.5416666666666666</v>
      </c>
      <c r="O504" s="78">
        <v>11</v>
      </c>
      <c r="P504" s="79">
        <v>0</v>
      </c>
    </row>
    <row r="505" spans="1:16" ht="12.75">
      <c r="A505" s="83">
        <v>38128</v>
      </c>
      <c r="B505" s="80">
        <v>0.5833333333333334</v>
      </c>
      <c r="C505" s="78">
        <v>10</v>
      </c>
      <c r="D505" s="79">
        <v>3</v>
      </c>
      <c r="G505" s="83">
        <v>38128</v>
      </c>
      <c r="H505" s="80">
        <v>0.5833333333333334</v>
      </c>
      <c r="I505" s="78">
        <v>10</v>
      </c>
      <c r="J505" s="79">
        <v>3</v>
      </c>
      <c r="M505" s="83">
        <v>38128</v>
      </c>
      <c r="N505" s="80">
        <v>0.5833333333333334</v>
      </c>
      <c r="O505" s="78">
        <v>13</v>
      </c>
      <c r="P505" s="79">
        <v>0</v>
      </c>
    </row>
    <row r="506" spans="1:16" ht="12.75">
      <c r="A506" s="83">
        <v>38128</v>
      </c>
      <c r="B506" s="80">
        <v>0.625</v>
      </c>
      <c r="C506" s="78">
        <v>10</v>
      </c>
      <c r="D506" s="79">
        <v>3</v>
      </c>
      <c r="G506" s="83">
        <v>38128</v>
      </c>
      <c r="H506" s="80">
        <v>0.625</v>
      </c>
      <c r="I506" s="78">
        <v>13</v>
      </c>
      <c r="J506" s="79">
        <v>3</v>
      </c>
      <c r="M506" s="83">
        <v>38128</v>
      </c>
      <c r="N506" s="80">
        <v>0.625</v>
      </c>
      <c r="O506" s="78">
        <v>23</v>
      </c>
      <c r="P506" s="79">
        <v>0</v>
      </c>
    </row>
    <row r="507" spans="1:16" ht="12.75">
      <c r="A507" s="83">
        <v>38128</v>
      </c>
      <c r="B507" s="80">
        <v>0.6666666666666666</v>
      </c>
      <c r="C507" s="78">
        <v>17</v>
      </c>
      <c r="D507" s="79">
        <v>3</v>
      </c>
      <c r="G507" s="83">
        <v>38128</v>
      </c>
      <c r="H507" s="80">
        <v>0.6666666666666666</v>
      </c>
      <c r="I507" s="78">
        <v>15</v>
      </c>
      <c r="J507" s="79">
        <v>3</v>
      </c>
      <c r="M507" s="83">
        <v>38128</v>
      </c>
      <c r="N507" s="80">
        <v>0.6666666666666666</v>
      </c>
      <c r="O507" s="78">
        <v>23</v>
      </c>
      <c r="P507" s="79">
        <v>0</v>
      </c>
    </row>
    <row r="508" spans="1:16" ht="12.75">
      <c r="A508" s="83">
        <v>38128</v>
      </c>
      <c r="B508" s="80">
        <v>0.7083333333333334</v>
      </c>
      <c r="C508" s="78">
        <v>15</v>
      </c>
      <c r="D508" s="79">
        <v>3</v>
      </c>
      <c r="G508" s="83">
        <v>38128</v>
      </c>
      <c r="H508" s="80">
        <v>0.7083333333333334</v>
      </c>
      <c r="I508" s="78">
        <v>13</v>
      </c>
      <c r="J508" s="79">
        <v>3</v>
      </c>
      <c r="M508" s="83">
        <v>38128</v>
      </c>
      <c r="N508" s="80">
        <v>0.7083333333333334</v>
      </c>
      <c r="O508" s="78">
        <v>27</v>
      </c>
      <c r="P508" s="79">
        <v>0</v>
      </c>
    </row>
    <row r="509" spans="1:16" ht="12.75">
      <c r="A509" s="83">
        <v>38128</v>
      </c>
      <c r="B509" s="80">
        <v>0.75</v>
      </c>
      <c r="C509" s="78">
        <v>8</v>
      </c>
      <c r="D509" s="79">
        <v>3</v>
      </c>
      <c r="G509" s="83">
        <v>38128</v>
      </c>
      <c r="H509" s="80">
        <v>0.75</v>
      </c>
      <c r="I509" s="78">
        <v>13</v>
      </c>
      <c r="J509" s="79">
        <v>3</v>
      </c>
      <c r="M509" s="83">
        <v>38128</v>
      </c>
      <c r="N509" s="80">
        <v>0.75</v>
      </c>
      <c r="O509" s="78">
        <v>25</v>
      </c>
      <c r="P509" s="79">
        <v>0</v>
      </c>
    </row>
    <row r="510" spans="1:16" ht="12.75">
      <c r="A510" s="83">
        <v>38128</v>
      </c>
      <c r="B510" s="80">
        <v>0.7916666666666666</v>
      </c>
      <c r="C510" s="78">
        <v>11</v>
      </c>
      <c r="D510" s="79">
        <v>3</v>
      </c>
      <c r="G510" s="83">
        <v>38128</v>
      </c>
      <c r="H510" s="80">
        <v>0.7916666666666666</v>
      </c>
      <c r="I510" s="78">
        <v>8</v>
      </c>
      <c r="J510" s="79">
        <v>3</v>
      </c>
      <c r="M510" s="83">
        <v>38128</v>
      </c>
      <c r="N510" s="80">
        <v>0.7916666666666666</v>
      </c>
      <c r="O510" s="78">
        <v>31</v>
      </c>
      <c r="P510" s="79">
        <v>0</v>
      </c>
    </row>
    <row r="511" spans="1:16" ht="12.75">
      <c r="A511" s="83">
        <v>38128</v>
      </c>
      <c r="B511" s="80">
        <v>0.8333333333333334</v>
      </c>
      <c r="C511" s="78">
        <v>23</v>
      </c>
      <c r="D511" s="79">
        <v>3</v>
      </c>
      <c r="G511" s="83">
        <v>38128</v>
      </c>
      <c r="H511" s="80">
        <v>0.8333333333333334</v>
      </c>
      <c r="I511" s="78">
        <v>11</v>
      </c>
      <c r="J511" s="79">
        <v>3</v>
      </c>
      <c r="M511" s="83">
        <v>38128</v>
      </c>
      <c r="N511" s="80">
        <v>0.8333333333333334</v>
      </c>
      <c r="O511" s="78">
        <v>36</v>
      </c>
      <c r="P511" s="79">
        <v>0</v>
      </c>
    </row>
    <row r="512" spans="1:16" ht="12.75">
      <c r="A512" s="83">
        <v>38128</v>
      </c>
      <c r="B512" s="80">
        <v>0.875</v>
      </c>
      <c r="C512" s="78">
        <v>23</v>
      </c>
      <c r="D512" s="79">
        <v>0</v>
      </c>
      <c r="G512" s="83">
        <v>38128</v>
      </c>
      <c r="H512" s="80">
        <v>0.875</v>
      </c>
      <c r="I512" s="78">
        <v>17</v>
      </c>
      <c r="J512" s="79">
        <v>5</v>
      </c>
      <c r="M512" s="83">
        <v>38128</v>
      </c>
      <c r="N512" s="80">
        <v>0.875</v>
      </c>
      <c r="O512" s="78">
        <v>36</v>
      </c>
      <c r="P512" s="79">
        <v>3</v>
      </c>
    </row>
    <row r="513" spans="1:16" ht="12.75">
      <c r="A513" s="83">
        <v>38128</v>
      </c>
      <c r="B513" s="80">
        <v>0.9166666666666666</v>
      </c>
      <c r="C513" s="78">
        <v>25</v>
      </c>
      <c r="D513" s="79">
        <v>0</v>
      </c>
      <c r="G513" s="83">
        <v>38128</v>
      </c>
      <c r="H513" s="80">
        <v>0.9166666666666666</v>
      </c>
      <c r="I513" s="78">
        <v>42</v>
      </c>
      <c r="J513" s="79">
        <v>5</v>
      </c>
      <c r="M513" s="83">
        <v>38128</v>
      </c>
      <c r="N513" s="80">
        <v>0.9166666666666666</v>
      </c>
      <c r="O513" s="78">
        <v>38</v>
      </c>
      <c r="P513" s="79">
        <v>0</v>
      </c>
    </row>
    <row r="514" spans="1:16" ht="12.75">
      <c r="A514" s="83">
        <v>38128</v>
      </c>
      <c r="B514" s="80">
        <v>0.9583333333333334</v>
      </c>
      <c r="C514" s="78">
        <v>19</v>
      </c>
      <c r="D514" s="79">
        <v>0</v>
      </c>
      <c r="G514" s="83">
        <v>38128</v>
      </c>
      <c r="H514" s="80">
        <v>0.9583333333333334</v>
      </c>
      <c r="I514" s="78">
        <v>63</v>
      </c>
      <c r="J514" s="79">
        <v>5</v>
      </c>
      <c r="M514" s="83">
        <v>38128</v>
      </c>
      <c r="N514" s="80">
        <v>0.9583333333333334</v>
      </c>
      <c r="O514" s="78">
        <v>38</v>
      </c>
      <c r="P514" s="79">
        <v>0</v>
      </c>
    </row>
    <row r="515" spans="1:16" ht="12.75">
      <c r="A515" s="83">
        <v>38128</v>
      </c>
      <c r="B515" s="81">
        <v>1</v>
      </c>
      <c r="C515" s="78">
        <v>15</v>
      </c>
      <c r="D515" s="79">
        <v>0</v>
      </c>
      <c r="G515" s="83">
        <v>38128</v>
      </c>
      <c r="H515" s="81">
        <v>1</v>
      </c>
      <c r="I515" s="78">
        <v>63</v>
      </c>
      <c r="J515" s="79">
        <v>3</v>
      </c>
      <c r="M515" s="83">
        <v>38128</v>
      </c>
      <c r="N515" s="81">
        <v>1</v>
      </c>
      <c r="O515" s="78">
        <v>34</v>
      </c>
      <c r="P515" s="79">
        <v>0</v>
      </c>
    </row>
    <row r="516" spans="1:16" s="92" customFormat="1" ht="12.75">
      <c r="A516" s="90">
        <v>38129</v>
      </c>
      <c r="B516" s="91">
        <v>0.041666666666666664</v>
      </c>
      <c r="C516" s="92">
        <v>19</v>
      </c>
      <c r="D516" s="92">
        <v>0</v>
      </c>
      <c r="G516" s="90">
        <v>38129</v>
      </c>
      <c r="H516" s="91">
        <v>0.041666666666666664</v>
      </c>
      <c r="I516" s="92">
        <v>46</v>
      </c>
      <c r="J516" s="92">
        <v>0</v>
      </c>
      <c r="M516" s="90">
        <v>38129</v>
      </c>
      <c r="N516" s="91">
        <v>0.041666666666666664</v>
      </c>
      <c r="O516" s="92">
        <v>25</v>
      </c>
      <c r="P516" s="92">
        <v>3</v>
      </c>
    </row>
    <row r="517" spans="1:16" ht="12.75">
      <c r="A517" s="83">
        <v>38129</v>
      </c>
      <c r="B517" s="80">
        <v>0.08333333333333333</v>
      </c>
      <c r="C517" s="78">
        <v>13</v>
      </c>
      <c r="D517" s="79">
        <v>0</v>
      </c>
      <c r="G517" s="83">
        <v>38129</v>
      </c>
      <c r="H517" s="80">
        <v>0.08333333333333333</v>
      </c>
      <c r="I517" s="78">
        <v>38</v>
      </c>
      <c r="J517" s="79">
        <v>0</v>
      </c>
      <c r="M517" s="83">
        <v>38129</v>
      </c>
      <c r="N517" s="80">
        <v>0.08333333333333333</v>
      </c>
      <c r="O517" s="78">
        <v>29</v>
      </c>
      <c r="P517" s="79">
        <v>3</v>
      </c>
    </row>
    <row r="518" spans="1:16" ht="12.75">
      <c r="A518" s="83">
        <v>38129</v>
      </c>
      <c r="B518" s="80">
        <v>0.125</v>
      </c>
      <c r="C518" s="78">
        <v>11</v>
      </c>
      <c r="D518" s="79">
        <v>0</v>
      </c>
      <c r="G518" s="83">
        <v>38129</v>
      </c>
      <c r="H518" s="80">
        <v>0.125</v>
      </c>
      <c r="I518" s="78">
        <v>29</v>
      </c>
      <c r="J518" s="79">
        <v>0</v>
      </c>
      <c r="M518" s="83">
        <v>38129</v>
      </c>
      <c r="N518" s="80">
        <v>0.125</v>
      </c>
      <c r="O518" s="78">
        <v>25</v>
      </c>
      <c r="P518" s="79">
        <v>0</v>
      </c>
    </row>
    <row r="519" spans="1:16" ht="12.75">
      <c r="A519" s="83">
        <v>38129</v>
      </c>
      <c r="B519" s="80">
        <v>0.16666666666666666</v>
      </c>
      <c r="C519" s="78">
        <v>8</v>
      </c>
      <c r="D519" s="79">
        <v>0</v>
      </c>
      <c r="G519" s="83">
        <v>38129</v>
      </c>
      <c r="H519" s="80">
        <v>0.16666666666666666</v>
      </c>
      <c r="I519" s="78">
        <v>13</v>
      </c>
      <c r="J519" s="79">
        <v>0</v>
      </c>
      <c r="M519" s="83">
        <v>38129</v>
      </c>
      <c r="N519" s="80">
        <v>0.16666666666666666</v>
      </c>
      <c r="O519" s="78">
        <v>21</v>
      </c>
      <c r="P519" s="79">
        <v>0</v>
      </c>
    </row>
    <row r="520" spans="1:16" ht="12.75">
      <c r="A520" s="83">
        <v>38129</v>
      </c>
      <c r="B520" s="80">
        <v>0.20833333333333334</v>
      </c>
      <c r="C520" s="78">
        <v>6</v>
      </c>
      <c r="D520" s="79">
        <v>0</v>
      </c>
      <c r="G520" s="83">
        <v>38129</v>
      </c>
      <c r="H520" s="80">
        <v>0.20833333333333334</v>
      </c>
      <c r="I520" s="78">
        <v>25</v>
      </c>
      <c r="J520" s="79">
        <v>3</v>
      </c>
      <c r="M520" s="83">
        <v>38129</v>
      </c>
      <c r="N520" s="80">
        <v>0.20833333333333334</v>
      </c>
      <c r="O520" s="78">
        <v>25</v>
      </c>
      <c r="P520" s="79">
        <v>0</v>
      </c>
    </row>
    <row r="521" spans="1:16" ht="12.75">
      <c r="A521" s="83">
        <v>38129</v>
      </c>
      <c r="B521" s="80">
        <v>0.25</v>
      </c>
      <c r="C521" s="78">
        <v>13</v>
      </c>
      <c r="D521" s="79">
        <v>0</v>
      </c>
      <c r="G521" s="83">
        <v>38129</v>
      </c>
      <c r="H521" s="80">
        <v>0.25</v>
      </c>
      <c r="I521" s="78">
        <v>34</v>
      </c>
      <c r="J521" s="79">
        <v>8</v>
      </c>
      <c r="M521" s="83">
        <v>38129</v>
      </c>
      <c r="N521" s="80">
        <v>0.25</v>
      </c>
      <c r="O521" s="78">
        <v>25</v>
      </c>
      <c r="P521" s="79">
        <v>0</v>
      </c>
    </row>
    <row r="522" spans="1:16" ht="12.75">
      <c r="A522" s="83">
        <v>38129</v>
      </c>
      <c r="B522" s="80">
        <v>0.2916666666666667</v>
      </c>
      <c r="C522" s="78">
        <v>8</v>
      </c>
      <c r="D522" s="79">
        <v>0</v>
      </c>
      <c r="G522" s="83">
        <v>38129</v>
      </c>
      <c r="H522" s="80">
        <v>0.2916666666666667</v>
      </c>
      <c r="I522" s="78">
        <v>38</v>
      </c>
      <c r="J522" s="79">
        <v>11</v>
      </c>
      <c r="M522" s="83">
        <v>38129</v>
      </c>
      <c r="N522" s="80">
        <v>0.2916666666666667</v>
      </c>
      <c r="O522" s="78">
        <v>19</v>
      </c>
      <c r="P522" s="79">
        <v>3</v>
      </c>
    </row>
    <row r="523" spans="1:16" ht="12.75">
      <c r="A523" s="83">
        <v>38129</v>
      </c>
      <c r="B523" s="80">
        <v>0.3333333333333333</v>
      </c>
      <c r="C523" s="78">
        <v>8</v>
      </c>
      <c r="D523" s="79">
        <v>0</v>
      </c>
      <c r="G523" s="83">
        <v>38129</v>
      </c>
      <c r="H523" s="80">
        <v>0.3333333333333333</v>
      </c>
      <c r="I523" s="78">
        <v>36</v>
      </c>
      <c r="J523" s="79">
        <v>11</v>
      </c>
      <c r="M523" s="83">
        <v>38129</v>
      </c>
      <c r="N523" s="80">
        <v>0.3333333333333333</v>
      </c>
      <c r="O523" s="78">
        <v>15</v>
      </c>
      <c r="P523" s="79">
        <v>0</v>
      </c>
    </row>
    <row r="524" spans="1:16" ht="12.75">
      <c r="A524" s="83">
        <v>38129</v>
      </c>
      <c r="B524" s="80">
        <v>0.375</v>
      </c>
      <c r="C524" s="78">
        <v>6</v>
      </c>
      <c r="D524" s="79">
        <v>0</v>
      </c>
      <c r="G524" s="83">
        <v>38129</v>
      </c>
      <c r="H524" s="80">
        <v>0.375</v>
      </c>
      <c r="I524" s="78">
        <v>23</v>
      </c>
      <c r="J524" s="79">
        <v>5</v>
      </c>
      <c r="M524" s="83">
        <v>38129</v>
      </c>
      <c r="N524" s="80">
        <v>0.375</v>
      </c>
      <c r="O524" s="78">
        <v>10</v>
      </c>
      <c r="P524" s="79">
        <v>0</v>
      </c>
    </row>
    <row r="525" spans="1:16" ht="12.75">
      <c r="A525" s="83">
        <v>38129</v>
      </c>
      <c r="B525" s="80">
        <v>0.4166666666666667</v>
      </c>
      <c r="C525" s="78">
        <v>4</v>
      </c>
      <c r="D525" s="79">
        <v>0</v>
      </c>
      <c r="G525" s="83">
        <v>38129</v>
      </c>
      <c r="H525" s="80">
        <v>0.4166666666666667</v>
      </c>
      <c r="I525" s="78">
        <v>17</v>
      </c>
      <c r="J525" s="79">
        <v>3</v>
      </c>
      <c r="M525" s="83">
        <v>38129</v>
      </c>
      <c r="N525" s="80">
        <v>0.4166666666666667</v>
      </c>
      <c r="O525" s="78">
        <v>8</v>
      </c>
      <c r="P525" s="79">
        <v>0</v>
      </c>
    </row>
    <row r="526" spans="1:16" ht="12.75">
      <c r="A526" s="83">
        <v>38129</v>
      </c>
      <c r="B526" s="80">
        <v>0.4583333333333333</v>
      </c>
      <c r="C526" s="78">
        <v>4</v>
      </c>
      <c r="D526" s="79">
        <v>0</v>
      </c>
      <c r="G526" s="83">
        <v>38129</v>
      </c>
      <c r="H526" s="80">
        <v>0.4583333333333333</v>
      </c>
      <c r="I526" s="78">
        <v>10</v>
      </c>
      <c r="J526" s="79">
        <v>0</v>
      </c>
      <c r="M526" s="83">
        <v>38129</v>
      </c>
      <c r="N526" s="80">
        <v>0.4583333333333333</v>
      </c>
      <c r="O526" s="78">
        <v>11</v>
      </c>
      <c r="P526" s="79">
        <v>0</v>
      </c>
    </row>
    <row r="527" spans="1:16" ht="12.75">
      <c r="A527" s="83">
        <v>38129</v>
      </c>
      <c r="B527" s="80">
        <v>0.5</v>
      </c>
      <c r="C527" s="78">
        <v>4</v>
      </c>
      <c r="D527" s="79">
        <v>0</v>
      </c>
      <c r="G527" s="83">
        <v>38129</v>
      </c>
      <c r="H527" s="80">
        <v>0.5</v>
      </c>
      <c r="I527" s="78">
        <v>8</v>
      </c>
      <c r="J527" s="79">
        <v>0</v>
      </c>
      <c r="M527" s="83">
        <v>38129</v>
      </c>
      <c r="N527" s="80">
        <v>0.5</v>
      </c>
      <c r="O527" s="78">
        <v>10</v>
      </c>
      <c r="P527" s="79">
        <v>3</v>
      </c>
    </row>
    <row r="528" spans="1:16" ht="12.75">
      <c r="A528" s="83">
        <v>38129</v>
      </c>
      <c r="B528" s="80">
        <v>0.5416666666666666</v>
      </c>
      <c r="C528" s="78">
        <v>4</v>
      </c>
      <c r="D528" s="79">
        <v>0</v>
      </c>
      <c r="G528" s="83">
        <v>38129</v>
      </c>
      <c r="H528" s="80">
        <v>0.5416666666666666</v>
      </c>
      <c r="I528" s="78">
        <v>13</v>
      </c>
      <c r="J528" s="79">
        <v>0</v>
      </c>
      <c r="M528" s="83">
        <v>38129</v>
      </c>
      <c r="N528" s="80">
        <v>0.5416666666666666</v>
      </c>
      <c r="O528" s="78">
        <v>8</v>
      </c>
      <c r="P528" s="79">
        <v>3</v>
      </c>
    </row>
    <row r="529" spans="1:16" ht="12.75">
      <c r="A529" s="83">
        <v>38129</v>
      </c>
      <c r="B529" s="80">
        <v>0.5833333333333334</v>
      </c>
      <c r="C529" s="78">
        <v>2</v>
      </c>
      <c r="D529" s="79">
        <v>0</v>
      </c>
      <c r="G529" s="83">
        <v>38129</v>
      </c>
      <c r="H529" s="80">
        <v>0.5833333333333334</v>
      </c>
      <c r="I529" s="78">
        <v>11</v>
      </c>
      <c r="J529" s="79">
        <v>3</v>
      </c>
      <c r="M529" s="83">
        <v>38129</v>
      </c>
      <c r="N529" s="80">
        <v>0.5833333333333334</v>
      </c>
      <c r="O529" s="78">
        <v>10</v>
      </c>
      <c r="P529" s="79">
        <v>3</v>
      </c>
    </row>
    <row r="530" spans="1:16" ht="12.75">
      <c r="A530" s="83">
        <v>38129</v>
      </c>
      <c r="B530" s="80">
        <v>0.625</v>
      </c>
      <c r="C530" s="78">
        <v>2</v>
      </c>
      <c r="D530" s="79">
        <v>0</v>
      </c>
      <c r="G530" s="83">
        <v>38129</v>
      </c>
      <c r="H530" s="80">
        <v>0.625</v>
      </c>
      <c r="I530" s="78">
        <v>13</v>
      </c>
      <c r="J530" s="79">
        <v>5</v>
      </c>
      <c r="M530" s="83">
        <v>38129</v>
      </c>
      <c r="N530" s="80">
        <v>0.625</v>
      </c>
      <c r="O530" s="78">
        <v>10</v>
      </c>
      <c r="P530" s="79">
        <v>3</v>
      </c>
    </row>
    <row r="531" spans="1:16" ht="12.75">
      <c r="A531" s="83">
        <v>38129</v>
      </c>
      <c r="B531" s="80">
        <v>0.6666666666666666</v>
      </c>
      <c r="C531" s="78">
        <v>4</v>
      </c>
      <c r="D531" s="79">
        <v>0</v>
      </c>
      <c r="G531" s="83">
        <v>38129</v>
      </c>
      <c r="H531" s="80">
        <v>0.6666666666666666</v>
      </c>
      <c r="I531" s="78">
        <v>15</v>
      </c>
      <c r="J531" s="79">
        <v>0</v>
      </c>
      <c r="M531" s="83">
        <v>38129</v>
      </c>
      <c r="N531" s="80">
        <v>0.6666666666666666</v>
      </c>
      <c r="O531" s="78">
        <v>8</v>
      </c>
      <c r="P531" s="79">
        <v>3</v>
      </c>
    </row>
    <row r="532" spans="1:16" ht="12.75">
      <c r="A532" s="83">
        <v>38129</v>
      </c>
      <c r="B532" s="80">
        <v>0.7083333333333334</v>
      </c>
      <c r="C532" s="78">
        <v>11</v>
      </c>
      <c r="D532" s="79">
        <v>5</v>
      </c>
      <c r="G532" s="83">
        <v>38129</v>
      </c>
      <c r="H532" s="80">
        <v>0.7083333333333334</v>
      </c>
      <c r="I532" s="78">
        <v>17</v>
      </c>
      <c r="J532" s="79">
        <v>0</v>
      </c>
      <c r="M532" s="83">
        <v>38129</v>
      </c>
      <c r="N532" s="80">
        <v>0.7083333333333334</v>
      </c>
      <c r="O532" s="78">
        <v>10</v>
      </c>
      <c r="P532" s="79">
        <v>3</v>
      </c>
    </row>
    <row r="533" spans="1:16" ht="12.75">
      <c r="A533" s="83">
        <v>38129</v>
      </c>
      <c r="B533" s="80">
        <v>0.75</v>
      </c>
      <c r="C533" s="78">
        <v>17</v>
      </c>
      <c r="D533" s="79">
        <v>5</v>
      </c>
      <c r="G533" s="83">
        <v>38129</v>
      </c>
      <c r="H533" s="80">
        <v>0.75</v>
      </c>
      <c r="I533" s="78">
        <v>19</v>
      </c>
      <c r="J533" s="79">
        <v>0</v>
      </c>
      <c r="M533" s="83">
        <v>38129</v>
      </c>
      <c r="N533" s="80">
        <v>0.75</v>
      </c>
      <c r="O533" s="78">
        <v>19</v>
      </c>
      <c r="P533" s="79">
        <v>3</v>
      </c>
    </row>
    <row r="534" spans="1:16" ht="12.75">
      <c r="A534" s="83">
        <v>38129</v>
      </c>
      <c r="B534" s="80">
        <v>0.7916666666666666</v>
      </c>
      <c r="C534" s="78">
        <v>29</v>
      </c>
      <c r="D534" s="79">
        <v>11</v>
      </c>
      <c r="G534" s="83">
        <v>38129</v>
      </c>
      <c r="H534" s="80">
        <v>0.7916666666666666</v>
      </c>
      <c r="I534" s="78">
        <v>23</v>
      </c>
      <c r="J534" s="79">
        <v>0</v>
      </c>
      <c r="M534" s="83">
        <v>38129</v>
      </c>
      <c r="N534" s="80">
        <v>0.7916666666666666</v>
      </c>
      <c r="O534" s="78">
        <v>19</v>
      </c>
      <c r="P534" s="79">
        <v>3</v>
      </c>
    </row>
    <row r="535" spans="1:16" ht="12.75">
      <c r="A535" s="83">
        <v>38129</v>
      </c>
      <c r="B535" s="80">
        <v>0.8333333333333334</v>
      </c>
      <c r="C535" s="78">
        <v>29</v>
      </c>
      <c r="D535" s="79">
        <v>11</v>
      </c>
      <c r="G535" s="83">
        <v>38129</v>
      </c>
      <c r="H535" s="80">
        <v>0.8333333333333334</v>
      </c>
      <c r="I535" s="78">
        <v>23</v>
      </c>
      <c r="J535" s="79">
        <v>0</v>
      </c>
      <c r="M535" s="83">
        <v>38129</v>
      </c>
      <c r="N535" s="80">
        <v>0.8333333333333334</v>
      </c>
      <c r="O535" s="78">
        <v>36</v>
      </c>
      <c r="P535" s="79">
        <v>3</v>
      </c>
    </row>
    <row r="536" spans="1:16" ht="12.75">
      <c r="A536" s="83">
        <v>38129</v>
      </c>
      <c r="B536" s="80">
        <v>0.875</v>
      </c>
      <c r="C536" s="78">
        <v>36</v>
      </c>
      <c r="D536" s="79">
        <v>8</v>
      </c>
      <c r="G536" s="83">
        <v>38129</v>
      </c>
      <c r="H536" s="80">
        <v>0.875</v>
      </c>
      <c r="I536" s="78">
        <v>25</v>
      </c>
      <c r="J536" s="79">
        <v>0</v>
      </c>
      <c r="M536" s="83">
        <v>38129</v>
      </c>
      <c r="N536" s="80">
        <v>0.875</v>
      </c>
      <c r="O536" s="78">
        <v>29</v>
      </c>
      <c r="P536" s="79">
        <v>3</v>
      </c>
    </row>
    <row r="537" spans="1:16" ht="12.75">
      <c r="A537" s="83">
        <v>38129</v>
      </c>
      <c r="B537" s="80">
        <v>0.9166666666666666</v>
      </c>
      <c r="C537" s="78">
        <v>52</v>
      </c>
      <c r="D537" s="79">
        <v>5</v>
      </c>
      <c r="G537" s="83">
        <v>38129</v>
      </c>
      <c r="H537" s="80">
        <v>0.9166666666666666</v>
      </c>
      <c r="I537" s="78">
        <v>32</v>
      </c>
      <c r="J537" s="79">
        <v>0</v>
      </c>
      <c r="M537" s="83">
        <v>38129</v>
      </c>
      <c r="N537" s="80">
        <v>0.9166666666666666</v>
      </c>
      <c r="O537" s="78">
        <v>29</v>
      </c>
      <c r="P537" s="79">
        <v>0</v>
      </c>
    </row>
    <row r="538" spans="1:16" ht="12.75">
      <c r="A538" s="83">
        <v>38129</v>
      </c>
      <c r="B538" s="80">
        <v>0.9583333333333334</v>
      </c>
      <c r="C538" s="78">
        <v>48</v>
      </c>
      <c r="D538" s="79">
        <v>3</v>
      </c>
      <c r="G538" s="83">
        <v>38129</v>
      </c>
      <c r="H538" s="80">
        <v>0.9583333333333334</v>
      </c>
      <c r="I538" s="78">
        <v>40</v>
      </c>
      <c r="J538" s="79">
        <v>0</v>
      </c>
      <c r="M538" s="83">
        <v>38129</v>
      </c>
      <c r="N538" s="80">
        <v>0.9583333333333334</v>
      </c>
      <c r="O538" s="78">
        <v>44</v>
      </c>
      <c r="P538" s="79">
        <v>3</v>
      </c>
    </row>
    <row r="539" spans="1:16" ht="12.75">
      <c r="A539" s="83">
        <v>38129</v>
      </c>
      <c r="B539" s="81">
        <v>1</v>
      </c>
      <c r="C539" s="78">
        <v>44</v>
      </c>
      <c r="D539" s="79">
        <v>3</v>
      </c>
      <c r="G539" s="83">
        <v>38129</v>
      </c>
      <c r="H539" s="81">
        <v>1</v>
      </c>
      <c r="I539" s="78">
        <v>38</v>
      </c>
      <c r="J539" s="79">
        <v>0</v>
      </c>
      <c r="M539" s="83">
        <v>38129</v>
      </c>
      <c r="N539" s="81">
        <v>1</v>
      </c>
      <c r="O539" s="78">
        <v>38</v>
      </c>
      <c r="P539" s="79">
        <v>3</v>
      </c>
    </row>
    <row r="540" spans="1:16" s="92" customFormat="1" ht="12.75">
      <c r="A540" s="90">
        <v>38130</v>
      </c>
      <c r="B540" s="91">
        <v>0.041666666666666664</v>
      </c>
      <c r="C540" s="92">
        <v>38</v>
      </c>
      <c r="D540" s="92">
        <v>3</v>
      </c>
      <c r="G540" s="90">
        <v>38130</v>
      </c>
      <c r="H540" s="91">
        <v>0.041666666666666664</v>
      </c>
      <c r="I540" s="92">
        <v>46</v>
      </c>
      <c r="J540" s="92">
        <v>0</v>
      </c>
      <c r="M540" s="90">
        <v>38130</v>
      </c>
      <c r="N540" s="91">
        <v>0.041666666666666664</v>
      </c>
      <c r="O540" s="92">
        <v>27</v>
      </c>
      <c r="P540" s="92">
        <v>0</v>
      </c>
    </row>
    <row r="541" spans="1:16" ht="12.75">
      <c r="A541" s="83">
        <v>38130</v>
      </c>
      <c r="B541" s="80">
        <v>0.08333333333333333</v>
      </c>
      <c r="C541" s="78">
        <v>19</v>
      </c>
      <c r="D541" s="79">
        <v>3</v>
      </c>
      <c r="G541" s="83">
        <v>38130</v>
      </c>
      <c r="H541" s="80">
        <v>0.08333333333333333</v>
      </c>
      <c r="I541" s="78">
        <v>32</v>
      </c>
      <c r="J541" s="79">
        <v>0</v>
      </c>
      <c r="M541" s="83">
        <v>38130</v>
      </c>
      <c r="N541" s="80">
        <v>0.08333333333333333</v>
      </c>
      <c r="O541" s="78">
        <v>32</v>
      </c>
      <c r="P541" s="79">
        <v>0</v>
      </c>
    </row>
    <row r="542" spans="1:16" ht="12.75">
      <c r="A542" s="83">
        <v>38130</v>
      </c>
      <c r="B542" s="80">
        <v>0.125</v>
      </c>
      <c r="C542" s="78">
        <v>15</v>
      </c>
      <c r="D542" s="79">
        <v>3</v>
      </c>
      <c r="G542" s="83">
        <v>38130</v>
      </c>
      <c r="H542" s="80">
        <v>0.125</v>
      </c>
      <c r="I542" s="78">
        <v>23</v>
      </c>
      <c r="J542" s="79">
        <v>0</v>
      </c>
      <c r="M542" s="83">
        <v>38130</v>
      </c>
      <c r="N542" s="80">
        <v>0.125</v>
      </c>
      <c r="O542" s="78">
        <v>42</v>
      </c>
      <c r="P542" s="79">
        <v>3</v>
      </c>
    </row>
    <row r="543" spans="1:16" ht="12.75">
      <c r="A543" s="83">
        <v>38130</v>
      </c>
      <c r="B543" s="80">
        <v>0.16666666666666666</v>
      </c>
      <c r="C543" s="78">
        <v>25</v>
      </c>
      <c r="D543" s="79">
        <v>3</v>
      </c>
      <c r="G543" s="83">
        <v>38130</v>
      </c>
      <c r="H543" s="80">
        <v>0.16666666666666666</v>
      </c>
      <c r="I543" s="78">
        <v>31</v>
      </c>
      <c r="J543" s="79">
        <v>3</v>
      </c>
      <c r="M543" s="83">
        <v>38130</v>
      </c>
      <c r="N543" s="80">
        <v>0.16666666666666666</v>
      </c>
      <c r="O543" s="78">
        <v>36</v>
      </c>
      <c r="P543" s="79">
        <v>0</v>
      </c>
    </row>
    <row r="544" spans="1:16" ht="12.75">
      <c r="A544" s="83">
        <v>38130</v>
      </c>
      <c r="B544" s="80">
        <v>0.20833333333333334</v>
      </c>
      <c r="C544" s="78">
        <v>23</v>
      </c>
      <c r="D544" s="79">
        <v>0</v>
      </c>
      <c r="G544" s="83">
        <v>38130</v>
      </c>
      <c r="H544" s="80">
        <v>0.20833333333333334</v>
      </c>
      <c r="I544" s="78">
        <v>27</v>
      </c>
      <c r="J544" s="79">
        <v>0</v>
      </c>
      <c r="M544" s="83">
        <v>38130</v>
      </c>
      <c r="N544" s="80">
        <v>0.20833333333333334</v>
      </c>
      <c r="O544" s="78">
        <v>27</v>
      </c>
      <c r="P544" s="79">
        <v>0</v>
      </c>
    </row>
    <row r="545" spans="1:16" ht="12.75">
      <c r="A545" s="83">
        <v>38130</v>
      </c>
      <c r="B545" s="80">
        <v>0.25</v>
      </c>
      <c r="C545" s="78">
        <v>17</v>
      </c>
      <c r="D545" s="79">
        <v>0</v>
      </c>
      <c r="G545" s="83">
        <v>38130</v>
      </c>
      <c r="H545" s="80">
        <v>0.25</v>
      </c>
      <c r="I545" s="78">
        <v>17</v>
      </c>
      <c r="J545" s="79">
        <v>0</v>
      </c>
      <c r="M545" s="83">
        <v>38130</v>
      </c>
      <c r="N545" s="80">
        <v>0.25</v>
      </c>
      <c r="O545" s="78">
        <v>27</v>
      </c>
      <c r="P545" s="79">
        <v>3</v>
      </c>
    </row>
    <row r="546" spans="1:16" ht="12.75">
      <c r="A546" s="83">
        <v>38130</v>
      </c>
      <c r="B546" s="80">
        <v>0.2916666666666667</v>
      </c>
      <c r="C546" s="78">
        <v>25</v>
      </c>
      <c r="D546" s="79">
        <v>3</v>
      </c>
      <c r="G546" s="83">
        <v>38130</v>
      </c>
      <c r="H546" s="80">
        <v>0.2916666666666667</v>
      </c>
      <c r="I546" s="78">
        <v>15</v>
      </c>
      <c r="J546" s="79">
        <v>0</v>
      </c>
      <c r="M546" s="83">
        <v>38130</v>
      </c>
      <c r="N546" s="80">
        <v>0.2916666666666667</v>
      </c>
      <c r="O546" s="78">
        <v>23</v>
      </c>
      <c r="P546" s="79">
        <v>3</v>
      </c>
    </row>
    <row r="547" spans="1:16" ht="12.75">
      <c r="A547" s="83">
        <v>38130</v>
      </c>
      <c r="B547" s="80">
        <v>0.3333333333333333</v>
      </c>
      <c r="C547" s="78">
        <v>13</v>
      </c>
      <c r="D547" s="79">
        <v>3</v>
      </c>
      <c r="G547" s="83">
        <v>38130</v>
      </c>
      <c r="H547" s="80">
        <v>0.3333333333333333</v>
      </c>
      <c r="I547" s="78">
        <v>10</v>
      </c>
      <c r="J547" s="79">
        <v>0</v>
      </c>
      <c r="M547" s="83">
        <v>38130</v>
      </c>
      <c r="N547" s="80">
        <v>0.3333333333333333</v>
      </c>
      <c r="O547" s="78">
        <v>15</v>
      </c>
      <c r="P547" s="79">
        <v>3</v>
      </c>
    </row>
    <row r="548" spans="1:16" ht="12.75">
      <c r="A548" s="83">
        <v>38130</v>
      </c>
      <c r="B548" s="80">
        <v>0.375</v>
      </c>
      <c r="C548" s="78">
        <v>11</v>
      </c>
      <c r="D548" s="79">
        <v>3</v>
      </c>
      <c r="G548" s="83">
        <v>38130</v>
      </c>
      <c r="H548" s="80">
        <v>0.375</v>
      </c>
      <c r="I548" s="78">
        <v>8</v>
      </c>
      <c r="J548" s="79">
        <v>0</v>
      </c>
      <c r="M548" s="83">
        <v>38130</v>
      </c>
      <c r="N548" s="80">
        <v>0.375</v>
      </c>
      <c r="O548" s="78">
        <v>13</v>
      </c>
      <c r="P548" s="79">
        <v>3</v>
      </c>
    </row>
    <row r="549" spans="1:16" ht="12.75">
      <c r="A549" s="83">
        <v>38130</v>
      </c>
      <c r="B549" s="80">
        <v>0.4166666666666667</v>
      </c>
      <c r="C549" s="78">
        <v>8</v>
      </c>
      <c r="D549" s="79">
        <v>3</v>
      </c>
      <c r="G549" s="83">
        <v>38130</v>
      </c>
      <c r="H549" s="80">
        <v>0.4166666666666667</v>
      </c>
      <c r="I549" s="78">
        <v>10</v>
      </c>
      <c r="J549" s="79">
        <v>0</v>
      </c>
      <c r="M549" s="83">
        <v>38130</v>
      </c>
      <c r="N549" s="80">
        <v>0.4166666666666667</v>
      </c>
      <c r="O549" s="78">
        <v>17</v>
      </c>
      <c r="P549" s="79">
        <v>0</v>
      </c>
    </row>
    <row r="550" spans="1:16" ht="12.75">
      <c r="A550" s="83">
        <v>38130</v>
      </c>
      <c r="B550" s="80">
        <v>0.4583333333333333</v>
      </c>
      <c r="C550" s="78">
        <v>6</v>
      </c>
      <c r="D550" s="79">
        <v>3</v>
      </c>
      <c r="G550" s="83">
        <v>38130</v>
      </c>
      <c r="H550" s="80">
        <v>0.4583333333333333</v>
      </c>
      <c r="I550" s="78">
        <v>10</v>
      </c>
      <c r="J550" s="79">
        <v>0</v>
      </c>
      <c r="M550" s="83">
        <v>38130</v>
      </c>
      <c r="N550" s="80">
        <v>0.4583333333333333</v>
      </c>
      <c r="O550" s="78">
        <v>6</v>
      </c>
      <c r="P550" s="79">
        <v>3</v>
      </c>
    </row>
    <row r="551" spans="1:16" ht="12.75">
      <c r="A551" s="83">
        <v>38130</v>
      </c>
      <c r="B551" s="80">
        <v>0.5</v>
      </c>
      <c r="C551" s="78">
        <v>4</v>
      </c>
      <c r="D551" s="79">
        <v>3</v>
      </c>
      <c r="G551" s="83">
        <v>38130</v>
      </c>
      <c r="H551" s="80">
        <v>0.5</v>
      </c>
      <c r="I551" s="78">
        <v>10</v>
      </c>
      <c r="J551" s="79">
        <v>0</v>
      </c>
      <c r="M551" s="83">
        <v>38130</v>
      </c>
      <c r="N551" s="80">
        <v>0.5</v>
      </c>
      <c r="O551" s="78">
        <v>8</v>
      </c>
      <c r="P551" s="79">
        <v>3</v>
      </c>
    </row>
    <row r="552" spans="1:16" ht="12.75">
      <c r="A552" s="83">
        <v>38130</v>
      </c>
      <c r="B552" s="80">
        <v>0.5416666666666666</v>
      </c>
      <c r="C552" s="78">
        <v>2</v>
      </c>
      <c r="D552" s="79">
        <v>3</v>
      </c>
      <c r="G552" s="83">
        <v>38130</v>
      </c>
      <c r="H552" s="80">
        <v>0.5416666666666666</v>
      </c>
      <c r="I552" s="78">
        <v>10</v>
      </c>
      <c r="J552" s="79">
        <v>0</v>
      </c>
      <c r="M552" s="83">
        <v>38130</v>
      </c>
      <c r="N552" s="80">
        <v>0.5416666666666666</v>
      </c>
      <c r="O552" s="78">
        <v>8</v>
      </c>
      <c r="P552" s="79">
        <v>3</v>
      </c>
    </row>
    <row r="553" spans="1:16" ht="12.75">
      <c r="A553" s="83">
        <v>38130</v>
      </c>
      <c r="B553" s="80">
        <v>0.5833333333333334</v>
      </c>
      <c r="C553" s="78">
        <v>0</v>
      </c>
      <c r="D553" s="79">
        <v>0</v>
      </c>
      <c r="G553" s="83">
        <v>38130</v>
      </c>
      <c r="H553" s="80">
        <v>0.5833333333333334</v>
      </c>
      <c r="I553" s="78">
        <v>10</v>
      </c>
      <c r="J553" s="79">
        <v>0</v>
      </c>
      <c r="M553" s="83">
        <v>38130</v>
      </c>
      <c r="N553" s="80">
        <v>0.5833333333333334</v>
      </c>
      <c r="O553" s="78">
        <v>8</v>
      </c>
      <c r="P553" s="79">
        <v>3</v>
      </c>
    </row>
    <row r="554" spans="1:16" ht="12.75">
      <c r="A554" s="83">
        <v>38130</v>
      </c>
      <c r="B554" s="80">
        <v>0.625</v>
      </c>
      <c r="C554" s="78">
        <v>11</v>
      </c>
      <c r="D554" s="79">
        <v>3</v>
      </c>
      <c r="G554" s="83">
        <v>38130</v>
      </c>
      <c r="H554" s="80">
        <v>0.625</v>
      </c>
      <c r="I554" s="78">
        <v>8</v>
      </c>
      <c r="J554" s="79">
        <v>0</v>
      </c>
      <c r="M554" s="83">
        <v>38130</v>
      </c>
      <c r="N554" s="80">
        <v>0.625</v>
      </c>
      <c r="O554" s="78">
        <v>8</v>
      </c>
      <c r="P554" s="79">
        <v>3</v>
      </c>
    </row>
    <row r="555" spans="1:16" ht="12.75">
      <c r="A555" s="83">
        <v>38130</v>
      </c>
      <c r="B555" s="80">
        <v>0.6666666666666666</v>
      </c>
      <c r="C555" s="78">
        <v>25</v>
      </c>
      <c r="D555" s="79">
        <v>13</v>
      </c>
      <c r="G555" s="83">
        <v>38130</v>
      </c>
      <c r="H555" s="80">
        <v>0.6666666666666666</v>
      </c>
      <c r="I555" s="78">
        <v>10</v>
      </c>
      <c r="J555" s="79">
        <v>0</v>
      </c>
      <c r="M555" s="83">
        <v>38130</v>
      </c>
      <c r="N555" s="80">
        <v>0.6666666666666666</v>
      </c>
      <c r="O555" s="78">
        <v>8</v>
      </c>
      <c r="P555" s="79">
        <v>0</v>
      </c>
    </row>
    <row r="556" spans="1:16" ht="12.75">
      <c r="A556" s="83">
        <v>38130</v>
      </c>
      <c r="B556" s="80">
        <v>0.7083333333333334</v>
      </c>
      <c r="C556" s="78">
        <v>10</v>
      </c>
      <c r="D556" s="79">
        <v>5</v>
      </c>
      <c r="G556" s="83">
        <v>38130</v>
      </c>
      <c r="H556" s="80">
        <v>0.7083333333333334</v>
      </c>
      <c r="I556" s="78">
        <v>10</v>
      </c>
      <c r="J556" s="79">
        <v>0</v>
      </c>
      <c r="M556" s="83">
        <v>38130</v>
      </c>
      <c r="N556" s="80">
        <v>0.7083333333333334</v>
      </c>
      <c r="O556" s="78">
        <v>10</v>
      </c>
      <c r="P556" s="79">
        <v>3</v>
      </c>
    </row>
    <row r="557" spans="1:16" ht="12.75">
      <c r="A557" s="83">
        <v>38130</v>
      </c>
      <c r="B557" s="80">
        <v>0.75</v>
      </c>
      <c r="C557" s="78">
        <v>8</v>
      </c>
      <c r="D557" s="79">
        <v>8</v>
      </c>
      <c r="G557" s="83">
        <v>38130</v>
      </c>
      <c r="H557" s="80">
        <v>0.75</v>
      </c>
      <c r="I557" s="78">
        <v>10</v>
      </c>
      <c r="J557" s="79">
        <v>0</v>
      </c>
      <c r="M557" s="83">
        <v>38130</v>
      </c>
      <c r="N557" s="80">
        <v>0.75</v>
      </c>
      <c r="O557" s="78">
        <v>10</v>
      </c>
      <c r="P557" s="79">
        <v>3</v>
      </c>
    </row>
    <row r="558" spans="1:16" ht="12.75">
      <c r="A558" s="83">
        <v>38130</v>
      </c>
      <c r="B558" s="80">
        <v>0.7916666666666666</v>
      </c>
      <c r="C558" s="78">
        <v>11</v>
      </c>
      <c r="D558" s="79">
        <v>5</v>
      </c>
      <c r="G558" s="83">
        <v>38130</v>
      </c>
      <c r="H558" s="80">
        <v>0.7916666666666666</v>
      </c>
      <c r="I558" s="78">
        <v>11</v>
      </c>
      <c r="J558" s="79">
        <v>0</v>
      </c>
      <c r="M558" s="83">
        <v>38130</v>
      </c>
      <c r="N558" s="80">
        <v>0.7916666666666666</v>
      </c>
      <c r="O558" s="78">
        <v>13</v>
      </c>
      <c r="P558" s="79">
        <v>3</v>
      </c>
    </row>
    <row r="559" spans="1:16" ht="12.75">
      <c r="A559" s="83">
        <v>38130</v>
      </c>
      <c r="B559" s="80">
        <v>0.8333333333333334</v>
      </c>
      <c r="C559" s="78">
        <v>29</v>
      </c>
      <c r="D559" s="79">
        <v>5</v>
      </c>
      <c r="G559" s="83">
        <v>38130</v>
      </c>
      <c r="H559" s="80">
        <v>0.8333333333333334</v>
      </c>
      <c r="I559" s="78">
        <v>15</v>
      </c>
      <c r="J559" s="79">
        <v>0</v>
      </c>
      <c r="M559" s="83">
        <v>38130</v>
      </c>
      <c r="N559" s="80">
        <v>0.8333333333333334</v>
      </c>
      <c r="O559" s="78">
        <v>42</v>
      </c>
      <c r="P559" s="79">
        <v>3</v>
      </c>
    </row>
    <row r="560" spans="1:16" ht="12.75">
      <c r="A560" s="83">
        <v>38130</v>
      </c>
      <c r="B560" s="80">
        <v>0.875</v>
      </c>
      <c r="C560" s="78">
        <v>17</v>
      </c>
      <c r="D560" s="79">
        <v>3</v>
      </c>
      <c r="G560" s="83">
        <v>38130</v>
      </c>
      <c r="H560" s="80">
        <v>0.875</v>
      </c>
      <c r="I560" s="78">
        <v>29</v>
      </c>
      <c r="J560" s="79">
        <v>0</v>
      </c>
      <c r="M560" s="83">
        <v>38130</v>
      </c>
      <c r="N560" s="80">
        <v>0.875</v>
      </c>
      <c r="O560" s="78">
        <v>88</v>
      </c>
      <c r="P560" s="79">
        <v>8</v>
      </c>
    </row>
    <row r="561" spans="1:16" ht="12.75">
      <c r="A561" s="83">
        <v>38130</v>
      </c>
      <c r="B561" s="80">
        <v>0.9166666666666666</v>
      </c>
      <c r="C561" s="78">
        <v>31</v>
      </c>
      <c r="D561" s="79">
        <v>3</v>
      </c>
      <c r="G561" s="83">
        <v>38130</v>
      </c>
      <c r="H561" s="80">
        <v>0.9166666666666666</v>
      </c>
      <c r="I561" s="78">
        <v>34</v>
      </c>
      <c r="J561" s="79">
        <v>0</v>
      </c>
      <c r="M561" s="83">
        <v>38130</v>
      </c>
      <c r="N561" s="80">
        <v>0.9166666666666666</v>
      </c>
      <c r="O561" s="78">
        <v>96</v>
      </c>
      <c r="P561" s="79">
        <v>13</v>
      </c>
    </row>
    <row r="562" spans="1:16" ht="12.75">
      <c r="A562" s="83">
        <v>38130</v>
      </c>
      <c r="B562" s="80">
        <v>0.9583333333333334</v>
      </c>
      <c r="C562" s="78">
        <v>25</v>
      </c>
      <c r="D562" s="79">
        <v>3</v>
      </c>
      <c r="G562" s="83">
        <v>38130</v>
      </c>
      <c r="H562" s="80">
        <v>0.9583333333333334</v>
      </c>
      <c r="I562" s="78">
        <v>25</v>
      </c>
      <c r="J562" s="79">
        <v>0</v>
      </c>
      <c r="M562" s="83">
        <v>38130</v>
      </c>
      <c r="N562" s="80">
        <v>0.9583333333333334</v>
      </c>
      <c r="O562" s="78">
        <v>92</v>
      </c>
      <c r="P562" s="79">
        <v>5</v>
      </c>
    </row>
    <row r="563" spans="1:16" ht="12.75">
      <c r="A563" s="83">
        <v>38130</v>
      </c>
      <c r="B563" s="81">
        <v>1</v>
      </c>
      <c r="C563" s="78">
        <v>19</v>
      </c>
      <c r="D563" s="79">
        <v>3</v>
      </c>
      <c r="G563" s="83">
        <v>38130</v>
      </c>
      <c r="H563" s="81">
        <v>1</v>
      </c>
      <c r="I563" s="78">
        <v>15</v>
      </c>
      <c r="J563" s="79">
        <v>0</v>
      </c>
      <c r="M563" s="83">
        <v>38130</v>
      </c>
      <c r="N563" s="81">
        <v>1</v>
      </c>
      <c r="O563" s="78">
        <v>82</v>
      </c>
      <c r="P563" s="79">
        <v>5</v>
      </c>
    </row>
    <row r="564" spans="1:16" s="92" customFormat="1" ht="12.75">
      <c r="A564" s="90">
        <v>38131</v>
      </c>
      <c r="B564" s="91">
        <v>0.041666666666666664</v>
      </c>
      <c r="C564" s="92">
        <v>15</v>
      </c>
      <c r="D564" s="92">
        <v>11</v>
      </c>
      <c r="G564" s="90">
        <v>38131</v>
      </c>
      <c r="H564" s="91">
        <v>0.041666666666666664</v>
      </c>
      <c r="I564" s="92">
        <v>13</v>
      </c>
      <c r="J564" s="92">
        <v>0</v>
      </c>
      <c r="M564" s="90">
        <v>38131</v>
      </c>
      <c r="N564" s="91">
        <v>0.041666666666666664</v>
      </c>
      <c r="O564" s="92">
        <v>78</v>
      </c>
      <c r="P564" s="92">
        <v>3</v>
      </c>
    </row>
    <row r="565" spans="1:16" ht="12.75">
      <c r="A565" s="83">
        <v>38131</v>
      </c>
      <c r="B565" s="80">
        <v>0.08333333333333333</v>
      </c>
      <c r="C565" s="78">
        <v>15</v>
      </c>
      <c r="D565" s="79">
        <v>0</v>
      </c>
      <c r="G565" s="83">
        <v>38131</v>
      </c>
      <c r="H565" s="80">
        <v>0.08333333333333333</v>
      </c>
      <c r="I565" s="78">
        <v>15</v>
      </c>
      <c r="J565" s="79">
        <v>0</v>
      </c>
      <c r="M565" s="83">
        <v>38131</v>
      </c>
      <c r="N565" s="80">
        <v>0.08333333333333333</v>
      </c>
      <c r="O565" s="78">
        <v>63</v>
      </c>
      <c r="P565" s="79">
        <v>0</v>
      </c>
    </row>
    <row r="566" spans="1:16" ht="12.75">
      <c r="A566" s="83">
        <v>38131</v>
      </c>
      <c r="B566" s="80">
        <v>0.125</v>
      </c>
      <c r="C566" s="78">
        <v>11</v>
      </c>
      <c r="D566" s="79">
        <v>8</v>
      </c>
      <c r="G566" s="83">
        <v>38131</v>
      </c>
      <c r="H566" s="80">
        <v>0.125</v>
      </c>
      <c r="I566" s="78">
        <v>8</v>
      </c>
      <c r="J566" s="79">
        <v>0</v>
      </c>
      <c r="M566" s="83">
        <v>38131</v>
      </c>
      <c r="N566" s="80">
        <v>0.125</v>
      </c>
      <c r="O566" s="78">
        <v>57</v>
      </c>
      <c r="P566" s="79">
        <v>0</v>
      </c>
    </row>
    <row r="567" spans="1:16" ht="12.75">
      <c r="A567" s="83">
        <v>38131</v>
      </c>
      <c r="B567" s="80">
        <v>0.16666666666666666</v>
      </c>
      <c r="C567" s="78">
        <v>11</v>
      </c>
      <c r="D567" s="79">
        <v>11</v>
      </c>
      <c r="G567" s="83">
        <v>38131</v>
      </c>
      <c r="H567" s="80">
        <v>0.16666666666666666</v>
      </c>
      <c r="I567" s="78">
        <v>2</v>
      </c>
      <c r="J567" s="79">
        <v>0</v>
      </c>
      <c r="M567" s="83">
        <v>38131</v>
      </c>
      <c r="N567" s="80">
        <v>0.16666666666666666</v>
      </c>
      <c r="O567" s="78">
        <v>48</v>
      </c>
      <c r="P567" s="79">
        <v>0</v>
      </c>
    </row>
    <row r="568" spans="1:16" ht="12.75">
      <c r="A568" s="83">
        <v>38131</v>
      </c>
      <c r="B568" s="80">
        <v>0.20833333333333334</v>
      </c>
      <c r="C568" s="78">
        <v>31</v>
      </c>
      <c r="D568" s="79">
        <v>11</v>
      </c>
      <c r="G568" s="83">
        <v>38131</v>
      </c>
      <c r="H568" s="80">
        <v>0.20833333333333334</v>
      </c>
      <c r="I568" s="78">
        <v>4</v>
      </c>
      <c r="J568" s="79">
        <v>0</v>
      </c>
      <c r="M568" s="83">
        <v>38131</v>
      </c>
      <c r="N568" s="80">
        <v>0.20833333333333334</v>
      </c>
      <c r="O568" s="78">
        <v>42</v>
      </c>
      <c r="P568" s="79">
        <v>0</v>
      </c>
    </row>
    <row r="569" spans="1:16" ht="12.75">
      <c r="A569" s="83">
        <v>38131</v>
      </c>
      <c r="B569" s="80">
        <v>0.25</v>
      </c>
      <c r="C569" s="78">
        <v>31</v>
      </c>
      <c r="D569" s="79">
        <v>11</v>
      </c>
      <c r="G569" s="83">
        <v>38131</v>
      </c>
      <c r="H569" s="80">
        <v>0.25</v>
      </c>
      <c r="I569" s="78">
        <v>10</v>
      </c>
      <c r="J569" s="79">
        <v>0</v>
      </c>
      <c r="M569" s="83">
        <v>38131</v>
      </c>
      <c r="N569" s="80">
        <v>0.25</v>
      </c>
      <c r="O569" s="78">
        <v>65</v>
      </c>
      <c r="P569" s="79">
        <v>5</v>
      </c>
    </row>
    <row r="570" spans="1:16" ht="12.75">
      <c r="A570" s="83">
        <v>38131</v>
      </c>
      <c r="B570" s="80">
        <v>0.2916666666666667</v>
      </c>
      <c r="C570" s="78">
        <v>32</v>
      </c>
      <c r="D570" s="79">
        <v>11</v>
      </c>
      <c r="G570" s="83">
        <v>38131</v>
      </c>
      <c r="H570" s="80">
        <v>0.2916666666666667</v>
      </c>
      <c r="I570" s="78">
        <v>27</v>
      </c>
      <c r="J570" s="79">
        <v>0</v>
      </c>
      <c r="M570" s="83">
        <v>38131</v>
      </c>
      <c r="N570" s="80">
        <v>0.2916666666666667</v>
      </c>
      <c r="O570" s="78">
        <v>65</v>
      </c>
      <c r="P570" s="79">
        <v>5</v>
      </c>
    </row>
    <row r="571" spans="1:16" ht="12.75">
      <c r="A571" s="83">
        <v>38131</v>
      </c>
      <c r="B571" s="80">
        <v>0.3333333333333333</v>
      </c>
      <c r="C571" s="78">
        <v>52</v>
      </c>
      <c r="D571" s="79">
        <v>11</v>
      </c>
      <c r="G571" s="83">
        <v>38131</v>
      </c>
      <c r="H571" s="80">
        <v>0.3333333333333333</v>
      </c>
      <c r="I571" s="78">
        <v>42</v>
      </c>
      <c r="J571" s="79">
        <v>0</v>
      </c>
      <c r="M571" s="83">
        <v>38131</v>
      </c>
      <c r="N571" s="80">
        <v>0.3333333333333333</v>
      </c>
      <c r="O571" s="78">
        <v>42</v>
      </c>
      <c r="P571" s="79">
        <v>5</v>
      </c>
    </row>
    <row r="572" spans="1:16" ht="12.75">
      <c r="A572" s="83">
        <v>38131</v>
      </c>
      <c r="B572" s="80">
        <v>0.375</v>
      </c>
      <c r="C572" s="78">
        <v>29</v>
      </c>
      <c r="D572" s="79">
        <v>13</v>
      </c>
      <c r="G572" s="83">
        <v>38131</v>
      </c>
      <c r="H572" s="80">
        <v>0.375</v>
      </c>
      <c r="I572" s="78">
        <v>46</v>
      </c>
      <c r="J572" s="79">
        <v>0</v>
      </c>
      <c r="M572" s="83">
        <v>38131</v>
      </c>
      <c r="N572" s="80">
        <v>0.375</v>
      </c>
      <c r="O572" s="78">
        <v>36</v>
      </c>
      <c r="P572" s="79">
        <v>5</v>
      </c>
    </row>
    <row r="573" spans="1:16" ht="12.75">
      <c r="A573" s="83">
        <v>38131</v>
      </c>
      <c r="B573" s="80">
        <v>0.4166666666666667</v>
      </c>
      <c r="C573" s="78">
        <v>19</v>
      </c>
      <c r="D573" s="79">
        <v>16</v>
      </c>
      <c r="G573" s="83">
        <v>38131</v>
      </c>
      <c r="H573" s="80">
        <v>0.4166666666666667</v>
      </c>
      <c r="I573" s="78">
        <v>40</v>
      </c>
      <c r="J573" s="79">
        <v>0</v>
      </c>
      <c r="M573" s="83">
        <v>38131</v>
      </c>
      <c r="N573" s="80">
        <v>0.4166666666666667</v>
      </c>
      <c r="O573" s="78">
        <v>23</v>
      </c>
      <c r="P573" s="79">
        <v>3</v>
      </c>
    </row>
    <row r="574" spans="1:16" ht="12.75">
      <c r="A574" s="83">
        <v>38131</v>
      </c>
      <c r="B574" s="80">
        <v>0.4583333333333333</v>
      </c>
      <c r="C574" s="78">
        <v>19</v>
      </c>
      <c r="D574" s="79">
        <v>16</v>
      </c>
      <c r="G574" s="83">
        <v>38131</v>
      </c>
      <c r="H574" s="80">
        <v>0.4583333333333333</v>
      </c>
      <c r="I574" s="78">
        <v>36</v>
      </c>
      <c r="J574" s="79">
        <v>0</v>
      </c>
      <c r="M574" s="83">
        <v>38131</v>
      </c>
      <c r="N574" s="80">
        <v>0.4583333333333333</v>
      </c>
      <c r="O574" s="78">
        <v>13</v>
      </c>
      <c r="P574" s="79">
        <v>3</v>
      </c>
    </row>
    <row r="575" spans="1:16" ht="12.75">
      <c r="A575" s="83">
        <v>38131</v>
      </c>
      <c r="B575" s="80">
        <v>0.5</v>
      </c>
      <c r="C575" s="78">
        <v>23</v>
      </c>
      <c r="D575" s="79">
        <v>24</v>
      </c>
      <c r="G575" s="83">
        <v>38131</v>
      </c>
      <c r="H575" s="80">
        <v>0.5</v>
      </c>
      <c r="I575" s="78">
        <v>40</v>
      </c>
      <c r="J575" s="79">
        <v>0</v>
      </c>
      <c r="M575" s="83">
        <v>38131</v>
      </c>
      <c r="N575" s="80">
        <v>0.5</v>
      </c>
      <c r="O575" s="78">
        <v>11</v>
      </c>
      <c r="P575" s="79">
        <v>0</v>
      </c>
    </row>
    <row r="576" spans="1:16" ht="12.75">
      <c r="A576" s="83">
        <v>38131</v>
      </c>
      <c r="B576" s="80">
        <v>0.5416666666666666</v>
      </c>
      <c r="C576" s="78">
        <v>44</v>
      </c>
      <c r="D576" s="79">
        <v>59</v>
      </c>
      <c r="G576" s="83">
        <v>38131</v>
      </c>
      <c r="H576" s="80">
        <v>0.5416666666666666</v>
      </c>
      <c r="I576" s="78">
        <v>34</v>
      </c>
      <c r="J576" s="79">
        <v>3</v>
      </c>
      <c r="M576" s="83">
        <v>38131</v>
      </c>
      <c r="N576" s="80">
        <v>0.5416666666666666</v>
      </c>
      <c r="O576" s="78">
        <v>15</v>
      </c>
      <c r="P576" s="79">
        <v>3</v>
      </c>
    </row>
    <row r="577" spans="1:16" ht="12.75">
      <c r="A577" s="83">
        <v>38131</v>
      </c>
      <c r="B577" s="80">
        <v>0.5833333333333334</v>
      </c>
      <c r="C577" s="78">
        <v>38</v>
      </c>
      <c r="D577" s="79">
        <v>51</v>
      </c>
      <c r="G577" s="83">
        <v>38131</v>
      </c>
      <c r="H577" s="80">
        <v>0.5833333333333334</v>
      </c>
      <c r="I577" s="78">
        <v>31</v>
      </c>
      <c r="J577" s="79">
        <v>0</v>
      </c>
      <c r="M577" s="83">
        <v>38131</v>
      </c>
      <c r="N577" s="80">
        <v>0.5833333333333334</v>
      </c>
      <c r="O577" s="78">
        <v>10</v>
      </c>
      <c r="P577" s="79">
        <v>0</v>
      </c>
    </row>
    <row r="578" spans="1:16" ht="12.75">
      <c r="A578" s="83">
        <v>38131</v>
      </c>
      <c r="B578" s="80">
        <v>0.625</v>
      </c>
      <c r="C578" s="78">
        <v>23</v>
      </c>
      <c r="D578" s="79">
        <v>16</v>
      </c>
      <c r="G578" s="83">
        <v>38131</v>
      </c>
      <c r="H578" s="80">
        <v>0.625</v>
      </c>
      <c r="I578" s="78">
        <v>31</v>
      </c>
      <c r="J578" s="79">
        <v>0</v>
      </c>
      <c r="M578" s="83">
        <v>38131</v>
      </c>
      <c r="N578" s="80">
        <v>0.625</v>
      </c>
      <c r="O578" s="78">
        <v>11</v>
      </c>
      <c r="P578" s="79">
        <v>0</v>
      </c>
    </row>
    <row r="579" spans="1:16" ht="12.75">
      <c r="A579" s="83">
        <v>38131</v>
      </c>
      <c r="B579" s="80">
        <v>0.6666666666666666</v>
      </c>
      <c r="C579" s="78">
        <v>19</v>
      </c>
      <c r="D579" s="79">
        <v>11</v>
      </c>
      <c r="G579" s="83">
        <v>38131</v>
      </c>
      <c r="H579" s="80">
        <v>0.6666666666666666</v>
      </c>
      <c r="I579" s="78">
        <v>31</v>
      </c>
      <c r="J579" s="79">
        <v>0</v>
      </c>
      <c r="M579" s="83">
        <v>38131</v>
      </c>
      <c r="N579" s="80">
        <v>0.6666666666666666</v>
      </c>
      <c r="O579" s="78">
        <v>11</v>
      </c>
      <c r="P579" s="79">
        <v>0</v>
      </c>
    </row>
    <row r="580" spans="1:16" ht="12.75">
      <c r="A580" s="83">
        <v>38131</v>
      </c>
      <c r="B580" s="80">
        <v>0.7083333333333334</v>
      </c>
      <c r="C580" s="78">
        <v>17</v>
      </c>
      <c r="D580" s="79">
        <v>8</v>
      </c>
      <c r="G580" s="83">
        <v>38131</v>
      </c>
      <c r="H580" s="80">
        <v>0.7083333333333334</v>
      </c>
      <c r="I580" s="78">
        <v>31</v>
      </c>
      <c r="J580" s="79">
        <v>0</v>
      </c>
      <c r="M580" s="83">
        <v>38131</v>
      </c>
      <c r="N580" s="80">
        <v>0.7083333333333334</v>
      </c>
      <c r="O580" s="78">
        <v>15</v>
      </c>
      <c r="P580" s="79">
        <v>0</v>
      </c>
    </row>
    <row r="581" spans="1:16" ht="12.75">
      <c r="A581" s="83">
        <v>38131</v>
      </c>
      <c r="B581" s="80">
        <v>0.75</v>
      </c>
      <c r="C581" s="78">
        <v>19</v>
      </c>
      <c r="D581" s="79">
        <v>11</v>
      </c>
      <c r="G581" s="83">
        <v>38131</v>
      </c>
      <c r="H581" s="80">
        <v>0.75</v>
      </c>
      <c r="I581" s="78">
        <v>25</v>
      </c>
      <c r="J581" s="79">
        <v>5</v>
      </c>
      <c r="M581" s="83">
        <v>38131</v>
      </c>
      <c r="N581" s="80">
        <v>0.75</v>
      </c>
      <c r="O581" s="78">
        <v>17</v>
      </c>
      <c r="P581" s="79">
        <v>0</v>
      </c>
    </row>
    <row r="582" spans="1:16" ht="12.75">
      <c r="A582" s="83">
        <v>38131</v>
      </c>
      <c r="B582" s="80">
        <v>0.7916666666666666</v>
      </c>
      <c r="C582" s="78">
        <v>23</v>
      </c>
      <c r="D582" s="79">
        <v>11</v>
      </c>
      <c r="G582" s="83">
        <v>38131</v>
      </c>
      <c r="H582" s="80">
        <v>0.7916666666666666</v>
      </c>
      <c r="I582" s="78">
        <v>23</v>
      </c>
      <c r="J582" s="79">
        <v>8</v>
      </c>
      <c r="M582" s="83">
        <v>38131</v>
      </c>
      <c r="N582" s="80">
        <v>0.7916666666666666</v>
      </c>
      <c r="O582" s="78">
        <v>19</v>
      </c>
      <c r="P582" s="79">
        <v>0</v>
      </c>
    </row>
    <row r="583" spans="1:16" ht="12.75">
      <c r="A583" s="83">
        <v>38131</v>
      </c>
      <c r="B583" s="80">
        <v>0.8333333333333334</v>
      </c>
      <c r="C583" s="78">
        <v>23</v>
      </c>
      <c r="D583" s="79">
        <v>13</v>
      </c>
      <c r="G583" s="83">
        <v>38131</v>
      </c>
      <c r="H583" s="80">
        <v>0.8333333333333334</v>
      </c>
      <c r="I583" s="78">
        <v>21</v>
      </c>
      <c r="J583" s="79">
        <v>3</v>
      </c>
      <c r="M583" s="83">
        <v>38131</v>
      </c>
      <c r="N583" s="80">
        <v>0.8333333333333334</v>
      </c>
      <c r="O583" s="78">
        <v>34</v>
      </c>
      <c r="P583" s="79">
        <v>0</v>
      </c>
    </row>
    <row r="584" spans="1:16" ht="12.75">
      <c r="A584" s="83">
        <v>38131</v>
      </c>
      <c r="B584" s="80">
        <v>0.875</v>
      </c>
      <c r="C584" s="78">
        <v>17</v>
      </c>
      <c r="D584" s="79">
        <v>13</v>
      </c>
      <c r="G584" s="83">
        <v>38131</v>
      </c>
      <c r="H584" s="80">
        <v>0.875</v>
      </c>
      <c r="I584" s="78">
        <v>29</v>
      </c>
      <c r="J584" s="79">
        <v>0</v>
      </c>
      <c r="M584" s="83">
        <v>38131</v>
      </c>
      <c r="N584" s="80">
        <v>0.875</v>
      </c>
      <c r="O584" s="78">
        <v>69</v>
      </c>
      <c r="P584" s="79">
        <v>5</v>
      </c>
    </row>
    <row r="585" spans="1:16" ht="12.75">
      <c r="A585" s="83">
        <v>38131</v>
      </c>
      <c r="B585" s="80">
        <v>0.9166666666666666</v>
      </c>
      <c r="C585" s="78">
        <v>27</v>
      </c>
      <c r="D585" s="79">
        <v>16</v>
      </c>
      <c r="G585" s="83">
        <v>38131</v>
      </c>
      <c r="H585" s="80">
        <v>0.9166666666666666</v>
      </c>
      <c r="I585" s="78">
        <v>32</v>
      </c>
      <c r="J585" s="79">
        <v>0</v>
      </c>
      <c r="M585" s="83">
        <v>38131</v>
      </c>
      <c r="N585" s="80">
        <v>0.9166666666666666</v>
      </c>
      <c r="O585" s="78">
        <v>63</v>
      </c>
      <c r="P585" s="79">
        <v>5</v>
      </c>
    </row>
    <row r="586" spans="1:16" ht="12.75">
      <c r="A586" s="83">
        <v>38131</v>
      </c>
      <c r="B586" s="80">
        <v>0.9583333333333334</v>
      </c>
      <c r="C586" s="78">
        <v>52</v>
      </c>
      <c r="D586" s="79">
        <v>13</v>
      </c>
      <c r="G586" s="83">
        <v>38131</v>
      </c>
      <c r="H586" s="80">
        <v>0.9583333333333334</v>
      </c>
      <c r="I586" s="78">
        <v>29</v>
      </c>
      <c r="J586" s="79">
        <v>0</v>
      </c>
      <c r="M586" s="83">
        <v>38131</v>
      </c>
      <c r="N586" s="80">
        <v>0.9583333333333334</v>
      </c>
      <c r="O586" s="78">
        <v>63</v>
      </c>
      <c r="P586" s="79">
        <v>5</v>
      </c>
    </row>
    <row r="587" spans="1:16" ht="12.75">
      <c r="A587" s="83">
        <v>38131</v>
      </c>
      <c r="B587" s="81">
        <v>1</v>
      </c>
      <c r="C587" s="78">
        <v>17</v>
      </c>
      <c r="D587" s="79">
        <v>13</v>
      </c>
      <c r="G587" s="83">
        <v>38131</v>
      </c>
      <c r="H587" s="81">
        <v>1</v>
      </c>
      <c r="I587" s="78">
        <v>23</v>
      </c>
      <c r="J587" s="79">
        <v>0</v>
      </c>
      <c r="M587" s="83">
        <v>38131</v>
      </c>
      <c r="N587" s="81">
        <v>1</v>
      </c>
      <c r="O587" s="78">
        <v>69</v>
      </c>
      <c r="P587" s="79">
        <v>5</v>
      </c>
    </row>
    <row r="588" spans="1:16" s="92" customFormat="1" ht="12.75">
      <c r="A588" s="90">
        <v>38132</v>
      </c>
      <c r="B588" s="91">
        <v>0.041666666666666664</v>
      </c>
      <c r="C588" s="92">
        <v>11</v>
      </c>
      <c r="D588" s="92">
        <v>3</v>
      </c>
      <c r="G588" s="90">
        <v>38132</v>
      </c>
      <c r="H588" s="91">
        <v>0.041666666666666664</v>
      </c>
      <c r="I588" s="92">
        <v>17</v>
      </c>
      <c r="J588" s="92">
        <v>0</v>
      </c>
      <c r="M588" s="90">
        <v>38132</v>
      </c>
      <c r="N588" s="91">
        <v>0.041666666666666664</v>
      </c>
      <c r="O588" s="92">
        <v>73</v>
      </c>
      <c r="P588" s="92">
        <v>5</v>
      </c>
    </row>
    <row r="589" spans="1:16" ht="12.75">
      <c r="A589" s="83">
        <v>38132</v>
      </c>
      <c r="B589" s="80">
        <v>0.08333333333333333</v>
      </c>
      <c r="C589" s="78">
        <v>10</v>
      </c>
      <c r="D589" s="79">
        <v>3</v>
      </c>
      <c r="G589" s="83">
        <v>38132</v>
      </c>
      <c r="H589" s="80">
        <v>0.08333333333333333</v>
      </c>
      <c r="I589" s="78">
        <v>25</v>
      </c>
      <c r="J589" s="79">
        <v>0</v>
      </c>
      <c r="M589" s="83">
        <v>38132</v>
      </c>
      <c r="N589" s="80">
        <v>0.08333333333333333</v>
      </c>
      <c r="O589" s="78">
        <v>46</v>
      </c>
      <c r="P589" s="79">
        <v>5</v>
      </c>
    </row>
    <row r="590" spans="1:16" ht="12.75">
      <c r="A590" s="83">
        <v>38132</v>
      </c>
      <c r="B590" s="80">
        <v>0.125</v>
      </c>
      <c r="C590" s="78">
        <v>11</v>
      </c>
      <c r="D590" s="79">
        <v>3</v>
      </c>
      <c r="G590" s="83">
        <v>38132</v>
      </c>
      <c r="H590" s="80">
        <v>0.125</v>
      </c>
      <c r="I590" s="78">
        <v>29</v>
      </c>
      <c r="J590" s="79">
        <v>0</v>
      </c>
      <c r="M590" s="83">
        <v>38132</v>
      </c>
      <c r="N590" s="80">
        <v>0.125</v>
      </c>
      <c r="O590" s="78">
        <v>32</v>
      </c>
      <c r="P590" s="79">
        <v>5</v>
      </c>
    </row>
    <row r="591" spans="1:16" ht="12.75">
      <c r="A591" s="83">
        <v>38132</v>
      </c>
      <c r="B591" s="80">
        <v>0.16666666666666666</v>
      </c>
      <c r="C591" s="78">
        <v>11</v>
      </c>
      <c r="D591" s="79">
        <v>3</v>
      </c>
      <c r="G591" s="83">
        <v>38132</v>
      </c>
      <c r="H591" s="80">
        <v>0.16666666666666666</v>
      </c>
      <c r="I591" s="78">
        <v>31</v>
      </c>
      <c r="J591" s="79">
        <v>0</v>
      </c>
      <c r="M591" s="83">
        <v>38132</v>
      </c>
      <c r="N591" s="80">
        <v>0.16666666666666666</v>
      </c>
      <c r="O591" s="78">
        <v>36</v>
      </c>
      <c r="P591" s="79">
        <v>3</v>
      </c>
    </row>
    <row r="592" spans="1:16" ht="12.75">
      <c r="A592" s="83">
        <v>38132</v>
      </c>
      <c r="B592" s="80">
        <v>0.20833333333333334</v>
      </c>
      <c r="C592" s="78">
        <v>38</v>
      </c>
      <c r="D592" s="79">
        <v>3</v>
      </c>
      <c r="G592" s="83">
        <v>38132</v>
      </c>
      <c r="H592" s="80">
        <v>0.20833333333333334</v>
      </c>
      <c r="I592" s="78">
        <v>17</v>
      </c>
      <c r="J592" s="79">
        <v>0</v>
      </c>
      <c r="M592" s="83">
        <v>38132</v>
      </c>
      <c r="N592" s="80">
        <v>0.20833333333333334</v>
      </c>
      <c r="O592" s="78">
        <v>36</v>
      </c>
      <c r="P592" s="79">
        <v>0</v>
      </c>
    </row>
    <row r="593" spans="1:16" ht="12.75">
      <c r="A593" s="83">
        <v>38132</v>
      </c>
      <c r="B593" s="80">
        <v>0.25</v>
      </c>
      <c r="C593" s="78">
        <v>25</v>
      </c>
      <c r="D593" s="79">
        <v>3</v>
      </c>
      <c r="G593" s="83">
        <v>38132</v>
      </c>
      <c r="H593" s="80">
        <v>0.25</v>
      </c>
      <c r="I593" s="78">
        <v>15</v>
      </c>
      <c r="J593" s="79">
        <v>0</v>
      </c>
      <c r="M593" s="83">
        <v>38132</v>
      </c>
      <c r="N593" s="80">
        <v>0.25</v>
      </c>
      <c r="O593" s="78">
        <v>55</v>
      </c>
      <c r="P593" s="79">
        <v>3</v>
      </c>
    </row>
    <row r="594" spans="1:16" ht="12.75">
      <c r="A594" s="83">
        <v>38132</v>
      </c>
      <c r="B594" s="80">
        <v>0.2916666666666667</v>
      </c>
      <c r="C594" s="78">
        <v>32</v>
      </c>
      <c r="D594" s="79">
        <v>3</v>
      </c>
      <c r="G594" s="83">
        <v>38132</v>
      </c>
      <c r="H594" s="80">
        <v>0.2916666666666667</v>
      </c>
      <c r="I594" s="78">
        <v>27</v>
      </c>
      <c r="J594" s="79">
        <v>3</v>
      </c>
      <c r="M594" s="83">
        <v>38132</v>
      </c>
      <c r="N594" s="80">
        <v>0.2916666666666667</v>
      </c>
      <c r="O594" s="78">
        <v>42</v>
      </c>
      <c r="P594" s="79">
        <v>3</v>
      </c>
    </row>
    <row r="595" spans="1:16" ht="12.75">
      <c r="A595" s="83">
        <v>38132</v>
      </c>
      <c r="B595" s="80">
        <v>0.3333333333333333</v>
      </c>
      <c r="C595" s="78">
        <v>25</v>
      </c>
      <c r="D595" s="79">
        <v>3</v>
      </c>
      <c r="G595" s="83">
        <v>38132</v>
      </c>
      <c r="H595" s="80">
        <v>0.3333333333333333</v>
      </c>
      <c r="I595" s="78">
        <v>27</v>
      </c>
      <c r="J595" s="79">
        <v>3</v>
      </c>
      <c r="M595" s="83">
        <v>38132</v>
      </c>
      <c r="N595" s="80">
        <v>0.3333333333333333</v>
      </c>
      <c r="O595" s="78">
        <v>36</v>
      </c>
      <c r="P595" s="79">
        <v>5</v>
      </c>
    </row>
    <row r="596" spans="1:16" ht="12.75">
      <c r="A596" s="83">
        <v>38132</v>
      </c>
      <c r="B596" s="80">
        <v>0.375</v>
      </c>
      <c r="C596" s="78">
        <v>17</v>
      </c>
      <c r="D596" s="79">
        <v>3</v>
      </c>
      <c r="G596" s="83">
        <v>38132</v>
      </c>
      <c r="H596" s="80">
        <v>0.375</v>
      </c>
      <c r="I596" s="78">
        <v>27</v>
      </c>
      <c r="J596" s="79">
        <v>0</v>
      </c>
      <c r="M596" s="83">
        <v>38132</v>
      </c>
      <c r="N596" s="80">
        <v>0.375</v>
      </c>
      <c r="O596" s="78">
        <v>38</v>
      </c>
      <c r="P596" s="79">
        <v>5</v>
      </c>
    </row>
    <row r="597" spans="1:16" ht="12.75">
      <c r="A597" s="83">
        <v>38132</v>
      </c>
      <c r="B597" s="80">
        <v>0.4166666666666667</v>
      </c>
      <c r="C597" s="78">
        <v>15</v>
      </c>
      <c r="D597" s="79">
        <v>3</v>
      </c>
      <c r="G597" s="83">
        <v>38132</v>
      </c>
      <c r="H597" s="80">
        <v>0.4166666666666667</v>
      </c>
      <c r="I597" s="78">
        <v>13</v>
      </c>
      <c r="J597" s="79">
        <v>0</v>
      </c>
      <c r="M597" s="83">
        <v>38132</v>
      </c>
      <c r="N597" s="80">
        <v>0.4166666666666667</v>
      </c>
      <c r="O597" s="78">
        <v>34</v>
      </c>
      <c r="P597" s="79">
        <v>5</v>
      </c>
    </row>
    <row r="598" spans="1:16" ht="12.75">
      <c r="A598" s="83">
        <v>38132</v>
      </c>
      <c r="B598" s="80">
        <v>0.4583333333333333</v>
      </c>
      <c r="C598" s="78">
        <v>15</v>
      </c>
      <c r="D598" s="79">
        <v>5</v>
      </c>
      <c r="G598" s="83">
        <v>38132</v>
      </c>
      <c r="H598" s="80">
        <v>0.4583333333333333</v>
      </c>
      <c r="I598" s="78">
        <v>15</v>
      </c>
      <c r="J598" s="79">
        <v>0</v>
      </c>
      <c r="M598" s="83">
        <v>38132</v>
      </c>
      <c r="N598" s="80">
        <v>0.4583333333333333</v>
      </c>
      <c r="O598" s="78">
        <v>21</v>
      </c>
      <c r="P598" s="79">
        <v>5</v>
      </c>
    </row>
    <row r="599" spans="1:16" ht="12.75">
      <c r="A599" s="83">
        <v>38132</v>
      </c>
      <c r="B599" s="80">
        <v>0.5</v>
      </c>
      <c r="C599" s="78">
        <v>13</v>
      </c>
      <c r="D599" s="79">
        <v>5</v>
      </c>
      <c r="G599" s="83">
        <v>38132</v>
      </c>
      <c r="H599" s="80">
        <v>0.5</v>
      </c>
      <c r="I599" s="78">
        <v>13</v>
      </c>
      <c r="J599" s="79">
        <v>0</v>
      </c>
      <c r="M599" s="83">
        <v>38132</v>
      </c>
      <c r="N599" s="80">
        <v>0.5</v>
      </c>
      <c r="O599" s="78">
        <v>17</v>
      </c>
      <c r="P599" s="79">
        <v>5</v>
      </c>
    </row>
    <row r="600" spans="1:16" ht="12.75">
      <c r="A600" s="83">
        <v>38132</v>
      </c>
      <c r="B600" s="80">
        <v>0.5416666666666666</v>
      </c>
      <c r="C600" s="78">
        <v>11</v>
      </c>
      <c r="D600" s="79">
        <v>3</v>
      </c>
      <c r="G600" s="83">
        <v>38132</v>
      </c>
      <c r="H600" s="80">
        <v>0.5416666666666666</v>
      </c>
      <c r="I600" s="78">
        <v>11</v>
      </c>
      <c r="J600" s="79">
        <v>0</v>
      </c>
      <c r="M600" s="83">
        <v>38132</v>
      </c>
      <c r="N600" s="80">
        <v>0.5416666666666666</v>
      </c>
      <c r="O600" s="78">
        <v>13</v>
      </c>
      <c r="P600" s="79">
        <v>5</v>
      </c>
    </row>
    <row r="601" spans="1:16" ht="12.75">
      <c r="A601" s="83">
        <v>38132</v>
      </c>
      <c r="B601" s="80">
        <v>0.5833333333333334</v>
      </c>
      <c r="C601" s="78">
        <v>11</v>
      </c>
      <c r="D601" s="79">
        <v>3</v>
      </c>
      <c r="G601" s="83">
        <v>38132</v>
      </c>
      <c r="H601" s="80">
        <v>0.5833333333333334</v>
      </c>
      <c r="I601" s="78">
        <v>13</v>
      </c>
      <c r="J601" s="79">
        <v>0</v>
      </c>
      <c r="M601" s="83">
        <v>38132</v>
      </c>
      <c r="N601" s="80">
        <v>0.5833333333333334</v>
      </c>
      <c r="O601" s="78">
        <v>13</v>
      </c>
      <c r="P601" s="79">
        <v>5</v>
      </c>
    </row>
    <row r="602" spans="1:16" ht="12.75">
      <c r="A602" s="83">
        <v>38132</v>
      </c>
      <c r="B602" s="80">
        <v>0.625</v>
      </c>
      <c r="C602" s="78">
        <v>11</v>
      </c>
      <c r="D602" s="79">
        <v>3</v>
      </c>
      <c r="G602" s="83">
        <v>38132</v>
      </c>
      <c r="H602" s="80">
        <v>0.625</v>
      </c>
      <c r="I602" s="78">
        <v>11</v>
      </c>
      <c r="J602" s="79">
        <v>0</v>
      </c>
      <c r="M602" s="83">
        <v>38132</v>
      </c>
      <c r="N602" s="80">
        <v>0.625</v>
      </c>
      <c r="O602" s="78">
        <v>15</v>
      </c>
      <c r="P602" s="79">
        <v>3</v>
      </c>
    </row>
    <row r="603" spans="1:16" ht="12.75">
      <c r="A603" s="83">
        <v>38132</v>
      </c>
      <c r="B603" s="80">
        <v>0.6666666666666666</v>
      </c>
      <c r="C603" s="78">
        <v>15</v>
      </c>
      <c r="D603" s="79">
        <v>3</v>
      </c>
      <c r="G603" s="83">
        <v>38132</v>
      </c>
      <c r="H603" s="80">
        <v>0.6666666666666666</v>
      </c>
      <c r="I603" s="78">
        <v>19</v>
      </c>
      <c r="J603" s="79">
        <v>0</v>
      </c>
      <c r="M603" s="83">
        <v>38132</v>
      </c>
      <c r="N603" s="80">
        <v>0.6666666666666666</v>
      </c>
      <c r="O603" s="78">
        <v>13</v>
      </c>
      <c r="P603" s="79">
        <v>0</v>
      </c>
    </row>
    <row r="604" spans="1:16" ht="12.75">
      <c r="A604" s="83">
        <v>38132</v>
      </c>
      <c r="B604" s="80">
        <v>0.7083333333333334</v>
      </c>
      <c r="C604" s="78">
        <v>11</v>
      </c>
      <c r="D604" s="79">
        <v>3</v>
      </c>
      <c r="G604" s="83">
        <v>38132</v>
      </c>
      <c r="H604" s="80">
        <v>0.7083333333333334</v>
      </c>
      <c r="I604" s="78">
        <v>19</v>
      </c>
      <c r="J604" s="79">
        <v>0</v>
      </c>
      <c r="M604" s="83">
        <v>38132</v>
      </c>
      <c r="N604" s="80">
        <v>0.7083333333333334</v>
      </c>
      <c r="O604" s="78">
        <v>15</v>
      </c>
      <c r="P604" s="79">
        <v>3</v>
      </c>
    </row>
    <row r="605" spans="1:16" ht="12.75">
      <c r="A605" s="83">
        <v>38132</v>
      </c>
      <c r="B605" s="80">
        <v>0.75</v>
      </c>
      <c r="C605" s="78">
        <v>11</v>
      </c>
      <c r="D605" s="79">
        <v>3</v>
      </c>
      <c r="G605" s="83">
        <v>38132</v>
      </c>
      <c r="H605" s="80">
        <v>0.75</v>
      </c>
      <c r="I605" s="78">
        <v>13</v>
      </c>
      <c r="J605" s="79">
        <v>0</v>
      </c>
      <c r="M605" s="83">
        <v>38132</v>
      </c>
      <c r="N605" s="80">
        <v>0.75</v>
      </c>
      <c r="O605" s="78">
        <v>17</v>
      </c>
      <c r="P605" s="79">
        <v>3</v>
      </c>
    </row>
    <row r="606" spans="1:16" ht="12.75">
      <c r="A606" s="83">
        <v>38132</v>
      </c>
      <c r="B606" s="80">
        <v>0.7916666666666666</v>
      </c>
      <c r="C606" s="78">
        <v>15</v>
      </c>
      <c r="D606" s="79">
        <v>3</v>
      </c>
      <c r="G606" s="83">
        <v>38132</v>
      </c>
      <c r="H606" s="80">
        <v>0.7916666666666666</v>
      </c>
      <c r="I606" s="78">
        <v>15</v>
      </c>
      <c r="J606" s="79">
        <v>13</v>
      </c>
      <c r="M606" s="83">
        <v>38132</v>
      </c>
      <c r="N606" s="80">
        <v>0.7916666666666666</v>
      </c>
      <c r="O606" s="78">
        <v>23</v>
      </c>
      <c r="P606" s="79">
        <v>3</v>
      </c>
    </row>
    <row r="607" spans="1:16" ht="12.75">
      <c r="A607" s="83">
        <v>38132</v>
      </c>
      <c r="B607" s="80">
        <v>0.8333333333333334</v>
      </c>
      <c r="C607" s="78">
        <v>15</v>
      </c>
      <c r="D607" s="79">
        <v>3</v>
      </c>
      <c r="G607" s="83">
        <v>38132</v>
      </c>
      <c r="H607" s="80">
        <v>0.8333333333333334</v>
      </c>
      <c r="I607" s="78">
        <v>10</v>
      </c>
      <c r="J607" s="79">
        <v>3</v>
      </c>
      <c r="M607" s="83">
        <v>38132</v>
      </c>
      <c r="N607" s="80">
        <v>0.8333333333333334</v>
      </c>
      <c r="O607" s="78">
        <v>84</v>
      </c>
      <c r="P607" s="79">
        <v>11</v>
      </c>
    </row>
    <row r="608" spans="1:16" ht="12.75">
      <c r="A608" s="83">
        <v>38132</v>
      </c>
      <c r="B608" s="80">
        <v>0.875</v>
      </c>
      <c r="C608" s="78">
        <v>21</v>
      </c>
      <c r="D608" s="79">
        <v>3</v>
      </c>
      <c r="G608" s="83">
        <v>38132</v>
      </c>
      <c r="H608" s="80">
        <v>0.875</v>
      </c>
      <c r="I608" s="78">
        <v>8</v>
      </c>
      <c r="J608" s="79">
        <v>0</v>
      </c>
      <c r="M608" s="83">
        <v>38132</v>
      </c>
      <c r="N608" s="80">
        <v>0.875</v>
      </c>
      <c r="O608" s="78">
        <v>84</v>
      </c>
      <c r="P608" s="79">
        <v>16</v>
      </c>
    </row>
    <row r="609" spans="1:16" ht="12.75">
      <c r="A609" s="83">
        <v>38132</v>
      </c>
      <c r="B609" s="80">
        <v>0.9166666666666666</v>
      </c>
      <c r="C609" s="78">
        <v>44</v>
      </c>
      <c r="D609" s="79">
        <v>3</v>
      </c>
      <c r="G609" s="83">
        <v>38132</v>
      </c>
      <c r="H609" s="80">
        <v>0.9166666666666666</v>
      </c>
      <c r="I609" s="78">
        <v>6</v>
      </c>
      <c r="J609" s="79">
        <v>0</v>
      </c>
      <c r="M609" s="83">
        <v>38132</v>
      </c>
      <c r="N609" s="80">
        <v>0.9166666666666666</v>
      </c>
      <c r="O609" s="78">
        <v>88</v>
      </c>
      <c r="P609" s="79">
        <v>27</v>
      </c>
    </row>
    <row r="610" spans="1:16" ht="12.75">
      <c r="A610" s="83">
        <v>38132</v>
      </c>
      <c r="B610" s="80">
        <v>0.9583333333333334</v>
      </c>
      <c r="C610" s="78">
        <v>57</v>
      </c>
      <c r="D610" s="79">
        <v>3</v>
      </c>
      <c r="G610" s="83">
        <v>38132</v>
      </c>
      <c r="H610" s="80">
        <v>0.9583333333333334</v>
      </c>
      <c r="I610" s="78">
        <v>4</v>
      </c>
      <c r="J610" s="79">
        <v>0</v>
      </c>
      <c r="M610" s="83">
        <v>38132</v>
      </c>
      <c r="N610" s="80">
        <v>0.9583333333333334</v>
      </c>
      <c r="O610" s="78">
        <v>57</v>
      </c>
      <c r="P610" s="79">
        <v>13</v>
      </c>
    </row>
    <row r="611" spans="1:16" ht="12.75">
      <c r="A611" s="83">
        <v>38132</v>
      </c>
      <c r="B611" s="81">
        <v>1</v>
      </c>
      <c r="C611" s="78">
        <v>40</v>
      </c>
      <c r="D611" s="79">
        <v>3</v>
      </c>
      <c r="G611" s="83">
        <v>38132</v>
      </c>
      <c r="H611" s="81">
        <v>1</v>
      </c>
      <c r="I611" s="78">
        <v>0</v>
      </c>
      <c r="J611" s="79">
        <v>0</v>
      </c>
      <c r="M611" s="83">
        <v>38132</v>
      </c>
      <c r="N611" s="81">
        <v>1</v>
      </c>
      <c r="O611" s="78">
        <v>59</v>
      </c>
      <c r="P611" s="79">
        <v>8</v>
      </c>
    </row>
    <row r="612" spans="1:16" s="92" customFormat="1" ht="12.75">
      <c r="A612" s="90">
        <v>38133</v>
      </c>
      <c r="B612" s="91">
        <v>0.041666666666666664</v>
      </c>
      <c r="C612" s="92">
        <v>17</v>
      </c>
      <c r="D612" s="92">
        <v>3</v>
      </c>
      <c r="G612" s="90">
        <v>38133</v>
      </c>
      <c r="H612" s="91">
        <v>0.041666666666666664</v>
      </c>
      <c r="I612" s="92">
        <v>0</v>
      </c>
      <c r="J612" s="92">
        <v>0</v>
      </c>
      <c r="M612" s="90">
        <v>38133</v>
      </c>
      <c r="N612" s="91">
        <v>0.041666666666666664</v>
      </c>
      <c r="O612" s="92">
        <v>71</v>
      </c>
      <c r="P612" s="92">
        <v>27</v>
      </c>
    </row>
    <row r="613" spans="1:16" ht="12.75">
      <c r="A613" s="83">
        <v>38133</v>
      </c>
      <c r="B613" s="80">
        <v>0.08333333333333333</v>
      </c>
      <c r="C613" s="78">
        <v>11</v>
      </c>
      <c r="D613" s="79">
        <v>3</v>
      </c>
      <c r="G613" s="83">
        <v>38133</v>
      </c>
      <c r="H613" s="80">
        <v>0.08333333333333333</v>
      </c>
      <c r="I613" s="78">
        <v>2</v>
      </c>
      <c r="J613" s="79">
        <v>0</v>
      </c>
      <c r="M613" s="83">
        <v>38133</v>
      </c>
      <c r="N613" s="80">
        <v>0.08333333333333333</v>
      </c>
      <c r="O613" s="78">
        <v>46</v>
      </c>
      <c r="P613" s="79">
        <v>8</v>
      </c>
    </row>
    <row r="614" spans="1:16" ht="12.75">
      <c r="A614" s="83">
        <v>38133</v>
      </c>
      <c r="B614" s="80">
        <v>0.125</v>
      </c>
      <c r="C614" s="78">
        <v>10</v>
      </c>
      <c r="D614" s="79">
        <v>3</v>
      </c>
      <c r="G614" s="83">
        <v>38133</v>
      </c>
      <c r="H614" s="80">
        <v>0.125</v>
      </c>
      <c r="I614" s="78">
        <v>0</v>
      </c>
      <c r="J614" s="79">
        <v>0</v>
      </c>
      <c r="M614" s="83">
        <v>38133</v>
      </c>
      <c r="N614" s="80">
        <v>0.125</v>
      </c>
      <c r="O614" s="78">
        <v>38</v>
      </c>
      <c r="P614" s="79">
        <v>5</v>
      </c>
    </row>
    <row r="615" spans="1:16" ht="12.75">
      <c r="A615" s="83">
        <v>38133</v>
      </c>
      <c r="B615" s="80">
        <v>0.16666666666666666</v>
      </c>
      <c r="C615" s="78">
        <v>10</v>
      </c>
      <c r="D615" s="79">
        <v>3</v>
      </c>
      <c r="G615" s="83">
        <v>38133</v>
      </c>
      <c r="H615" s="80">
        <v>0.16666666666666666</v>
      </c>
      <c r="I615" s="78">
        <v>0</v>
      </c>
      <c r="J615" s="79">
        <v>0</v>
      </c>
      <c r="M615" s="83">
        <v>38133</v>
      </c>
      <c r="N615" s="80">
        <v>0.16666666666666666</v>
      </c>
      <c r="O615" s="78">
        <v>44</v>
      </c>
      <c r="P615" s="79">
        <v>5</v>
      </c>
    </row>
    <row r="616" spans="1:16" ht="12.75">
      <c r="A616" s="83">
        <v>38133</v>
      </c>
      <c r="B616" s="80">
        <v>0.20833333333333334</v>
      </c>
      <c r="C616" s="78">
        <v>13</v>
      </c>
      <c r="D616" s="79">
        <v>3</v>
      </c>
      <c r="G616" s="83">
        <v>38133</v>
      </c>
      <c r="H616" s="80">
        <v>0.20833333333333334</v>
      </c>
      <c r="I616" s="78">
        <v>4</v>
      </c>
      <c r="J616" s="79">
        <v>0</v>
      </c>
      <c r="M616" s="83">
        <v>38133</v>
      </c>
      <c r="N616" s="80">
        <v>0.20833333333333334</v>
      </c>
      <c r="O616" s="78">
        <v>50</v>
      </c>
      <c r="P616" s="79">
        <v>5</v>
      </c>
    </row>
    <row r="617" spans="1:16" ht="12.75">
      <c r="A617" s="83">
        <v>38133</v>
      </c>
      <c r="B617" s="80">
        <v>0.25</v>
      </c>
      <c r="C617" s="78">
        <v>17</v>
      </c>
      <c r="D617" s="79">
        <v>3</v>
      </c>
      <c r="G617" s="83">
        <v>38133</v>
      </c>
      <c r="H617" s="80">
        <v>0.25</v>
      </c>
      <c r="I617" s="78">
        <v>13</v>
      </c>
      <c r="J617" s="79">
        <v>0</v>
      </c>
      <c r="M617" s="83">
        <v>38133</v>
      </c>
      <c r="N617" s="80">
        <v>0.25</v>
      </c>
      <c r="O617" s="78">
        <v>48</v>
      </c>
      <c r="P617" s="79">
        <v>3</v>
      </c>
    </row>
    <row r="618" spans="1:16" ht="12.75">
      <c r="A618" s="83">
        <v>38133</v>
      </c>
      <c r="B618" s="80">
        <v>0.2916666666666667</v>
      </c>
      <c r="C618" s="78">
        <v>25</v>
      </c>
      <c r="D618" s="79">
        <v>3</v>
      </c>
      <c r="G618" s="83">
        <v>38133</v>
      </c>
      <c r="H618" s="80">
        <v>0.2916666666666667</v>
      </c>
      <c r="I618" s="78">
        <v>19</v>
      </c>
      <c r="J618" s="79">
        <v>3</v>
      </c>
      <c r="M618" s="83">
        <v>38133</v>
      </c>
      <c r="N618" s="80">
        <v>0.2916666666666667</v>
      </c>
      <c r="O618" s="78">
        <v>67</v>
      </c>
      <c r="P618" s="79">
        <v>11</v>
      </c>
    </row>
    <row r="619" spans="1:16" ht="12.75">
      <c r="A619" s="83">
        <v>38133</v>
      </c>
      <c r="B619" s="80">
        <v>0.3333333333333333</v>
      </c>
      <c r="C619" s="78">
        <v>23</v>
      </c>
      <c r="D619" s="79">
        <v>5</v>
      </c>
      <c r="G619" s="83">
        <v>38133</v>
      </c>
      <c r="H619" s="80">
        <v>0.3333333333333333</v>
      </c>
      <c r="I619" s="78">
        <v>13</v>
      </c>
      <c r="J619" s="79">
        <v>0</v>
      </c>
      <c r="M619" s="83">
        <v>38133</v>
      </c>
      <c r="N619" s="80">
        <v>0.3333333333333333</v>
      </c>
      <c r="O619" s="78">
        <v>73</v>
      </c>
      <c r="P619" s="79">
        <v>8</v>
      </c>
    </row>
    <row r="620" spans="1:16" ht="12.75">
      <c r="A620" s="83">
        <v>38133</v>
      </c>
      <c r="B620" s="80">
        <v>0.375</v>
      </c>
      <c r="C620" s="78">
        <v>23</v>
      </c>
      <c r="D620" s="79">
        <v>3</v>
      </c>
      <c r="G620" s="83">
        <v>38133</v>
      </c>
      <c r="H620" s="80">
        <v>0.375</v>
      </c>
      <c r="I620" s="78">
        <v>15</v>
      </c>
      <c r="J620" s="79">
        <v>0</v>
      </c>
      <c r="M620" s="83">
        <v>38133</v>
      </c>
      <c r="N620" s="80">
        <v>0.375</v>
      </c>
      <c r="O620" s="78">
        <v>73</v>
      </c>
      <c r="P620" s="79">
        <v>8</v>
      </c>
    </row>
    <row r="621" spans="1:16" ht="12.75">
      <c r="A621" s="83">
        <v>38133</v>
      </c>
      <c r="B621" s="80">
        <v>0.4166666666666667</v>
      </c>
      <c r="C621" s="78">
        <v>21</v>
      </c>
      <c r="D621" s="79">
        <v>5</v>
      </c>
      <c r="G621" s="83">
        <v>38133</v>
      </c>
      <c r="H621" s="80">
        <v>0.4166666666666667</v>
      </c>
      <c r="I621" s="78">
        <v>13</v>
      </c>
      <c r="J621" s="79">
        <v>0</v>
      </c>
      <c r="M621" s="83">
        <v>38133</v>
      </c>
      <c r="N621" s="80">
        <v>0.4166666666666667</v>
      </c>
      <c r="O621" s="78">
        <v>71</v>
      </c>
      <c r="P621" s="79">
        <v>13</v>
      </c>
    </row>
    <row r="622" spans="1:16" ht="12.75">
      <c r="A622" s="83">
        <v>38133</v>
      </c>
      <c r="B622" s="80">
        <v>0.4583333333333333</v>
      </c>
      <c r="C622" s="78">
        <v>19</v>
      </c>
      <c r="D622" s="79">
        <v>5</v>
      </c>
      <c r="G622" s="83">
        <v>38133</v>
      </c>
      <c r="H622" s="80">
        <v>0.4583333333333333</v>
      </c>
      <c r="I622" s="78">
        <v>15</v>
      </c>
      <c r="J622" s="79">
        <v>0</v>
      </c>
      <c r="M622" s="83">
        <v>38133</v>
      </c>
      <c r="N622" s="80">
        <v>0.4583333333333333</v>
      </c>
      <c r="O622" s="78">
        <v>71</v>
      </c>
      <c r="P622" s="79">
        <v>13</v>
      </c>
    </row>
    <row r="623" spans="1:16" ht="12.75">
      <c r="A623" s="83">
        <v>38133</v>
      </c>
      <c r="B623" s="80">
        <v>0.5</v>
      </c>
      <c r="C623" s="78">
        <v>21</v>
      </c>
      <c r="D623" s="79">
        <v>8</v>
      </c>
      <c r="G623" s="83">
        <v>38133</v>
      </c>
      <c r="H623" s="80">
        <v>0.5</v>
      </c>
      <c r="I623" s="78">
        <v>13</v>
      </c>
      <c r="J623" s="79">
        <v>3</v>
      </c>
      <c r="M623" s="83">
        <v>38133</v>
      </c>
      <c r="N623" s="80">
        <v>0.5</v>
      </c>
      <c r="O623" s="78">
        <v>63</v>
      </c>
      <c r="P623" s="79">
        <v>13</v>
      </c>
    </row>
    <row r="624" spans="1:16" ht="12.75">
      <c r="A624" s="83">
        <v>38133</v>
      </c>
      <c r="B624" s="80">
        <v>0.5416666666666666</v>
      </c>
      <c r="C624" s="78">
        <v>21</v>
      </c>
      <c r="D624" s="79">
        <v>8</v>
      </c>
      <c r="G624" s="83">
        <v>38133</v>
      </c>
      <c r="H624" s="80">
        <v>0.5416666666666666</v>
      </c>
      <c r="I624" s="78">
        <v>15</v>
      </c>
      <c r="J624" s="79">
        <v>3</v>
      </c>
      <c r="M624" s="83">
        <v>38133</v>
      </c>
      <c r="N624" s="80">
        <v>0.5416666666666666</v>
      </c>
      <c r="O624" s="78">
        <v>55</v>
      </c>
      <c r="P624" s="79">
        <v>13</v>
      </c>
    </row>
    <row r="625" spans="1:16" ht="12.75">
      <c r="A625" s="83">
        <v>38133</v>
      </c>
      <c r="B625" s="80">
        <v>0.5833333333333334</v>
      </c>
      <c r="C625" s="78">
        <v>17</v>
      </c>
      <c r="D625" s="79">
        <v>5</v>
      </c>
      <c r="G625" s="83">
        <v>38133</v>
      </c>
      <c r="H625" s="80">
        <v>0.5833333333333334</v>
      </c>
      <c r="I625" s="78">
        <v>11</v>
      </c>
      <c r="J625" s="79">
        <v>3</v>
      </c>
      <c r="M625" s="83">
        <v>38133</v>
      </c>
      <c r="N625" s="80">
        <v>0.5833333333333334</v>
      </c>
      <c r="O625" s="78">
        <v>57</v>
      </c>
      <c r="P625" s="79">
        <v>11</v>
      </c>
    </row>
    <row r="626" spans="1:16" ht="12.75">
      <c r="A626" s="83">
        <v>38133</v>
      </c>
      <c r="B626" s="80">
        <v>0.625</v>
      </c>
      <c r="C626" s="78">
        <v>19</v>
      </c>
      <c r="D626" s="79">
        <v>5</v>
      </c>
      <c r="G626" s="83">
        <v>38133</v>
      </c>
      <c r="H626" s="80">
        <v>0.625</v>
      </c>
      <c r="I626" s="78">
        <v>8</v>
      </c>
      <c r="J626" s="79">
        <v>0</v>
      </c>
      <c r="M626" s="83">
        <v>38133</v>
      </c>
      <c r="N626" s="80">
        <v>0.625</v>
      </c>
      <c r="O626" s="78">
        <v>44</v>
      </c>
      <c r="P626" s="79">
        <v>13</v>
      </c>
    </row>
    <row r="627" spans="1:16" ht="12.75">
      <c r="A627" s="83">
        <v>38133</v>
      </c>
      <c r="B627" s="80">
        <v>0.6666666666666666</v>
      </c>
      <c r="C627" s="78">
        <v>17</v>
      </c>
      <c r="D627" s="79">
        <v>5</v>
      </c>
      <c r="G627" s="83">
        <v>38133</v>
      </c>
      <c r="H627" s="80">
        <v>0.6666666666666666</v>
      </c>
      <c r="I627" s="78">
        <v>11</v>
      </c>
      <c r="J627" s="79">
        <v>0</v>
      </c>
      <c r="M627" s="83">
        <v>38133</v>
      </c>
      <c r="N627" s="80">
        <v>0.6666666666666666</v>
      </c>
      <c r="O627" s="78">
        <v>61</v>
      </c>
      <c r="P627" s="79">
        <v>13</v>
      </c>
    </row>
    <row r="628" spans="1:16" ht="12.75">
      <c r="A628" s="83">
        <v>38133</v>
      </c>
      <c r="B628" s="80">
        <v>0.7083333333333334</v>
      </c>
      <c r="C628" s="78">
        <v>32</v>
      </c>
      <c r="D628" s="79">
        <v>3</v>
      </c>
      <c r="G628" s="83">
        <v>38133</v>
      </c>
      <c r="H628" s="80">
        <v>0.7083333333333334</v>
      </c>
      <c r="I628" s="78">
        <v>17</v>
      </c>
      <c r="J628" s="79">
        <v>3</v>
      </c>
      <c r="M628" s="83">
        <v>38133</v>
      </c>
      <c r="N628" s="80">
        <v>0.7083333333333334</v>
      </c>
      <c r="O628" s="78">
        <v>71</v>
      </c>
      <c r="P628" s="79">
        <v>16</v>
      </c>
    </row>
    <row r="629" spans="1:16" ht="12.75">
      <c r="A629" s="83">
        <v>38133</v>
      </c>
      <c r="B629" s="80">
        <v>0.75</v>
      </c>
      <c r="C629" s="78">
        <v>31</v>
      </c>
      <c r="D629" s="79">
        <v>5</v>
      </c>
      <c r="G629" s="83">
        <v>38133</v>
      </c>
      <c r="H629" s="80">
        <v>0.75</v>
      </c>
      <c r="I629" s="78">
        <v>17</v>
      </c>
      <c r="J629" s="79">
        <v>8</v>
      </c>
      <c r="M629" s="83">
        <v>38133</v>
      </c>
      <c r="N629" s="80">
        <v>0.75</v>
      </c>
      <c r="O629" s="78">
        <v>82</v>
      </c>
      <c r="P629" s="79">
        <v>21</v>
      </c>
    </row>
    <row r="630" spans="1:16" ht="12.75">
      <c r="A630" s="83">
        <v>38133</v>
      </c>
      <c r="B630" s="80">
        <v>0.7916666666666666</v>
      </c>
      <c r="C630" s="78">
        <v>15</v>
      </c>
      <c r="D630" s="79">
        <v>5</v>
      </c>
      <c r="G630" s="83">
        <v>38133</v>
      </c>
      <c r="H630" s="80">
        <v>0.7916666666666666</v>
      </c>
      <c r="I630" s="78">
        <v>15</v>
      </c>
      <c r="J630" s="79">
        <v>11</v>
      </c>
      <c r="M630" s="83">
        <v>38133</v>
      </c>
      <c r="N630" s="80">
        <v>0.7916666666666666</v>
      </c>
      <c r="O630" s="78">
        <v>84</v>
      </c>
      <c r="P630" s="79">
        <v>21</v>
      </c>
    </row>
    <row r="631" spans="1:16" ht="12.75">
      <c r="A631" s="83">
        <v>38133</v>
      </c>
      <c r="B631" s="80">
        <v>0.8333333333333334</v>
      </c>
      <c r="C631" s="78">
        <v>29</v>
      </c>
      <c r="D631" s="79">
        <v>3</v>
      </c>
      <c r="G631" s="83">
        <v>38133</v>
      </c>
      <c r="H631" s="80">
        <v>0.8333333333333334</v>
      </c>
      <c r="I631" s="78">
        <v>19</v>
      </c>
      <c r="J631" s="79">
        <v>19</v>
      </c>
      <c r="M631" s="83">
        <v>38133</v>
      </c>
      <c r="N631" s="80">
        <v>0.8333333333333334</v>
      </c>
      <c r="O631" s="78">
        <v>86</v>
      </c>
      <c r="P631" s="79">
        <v>5</v>
      </c>
    </row>
    <row r="632" spans="1:16" ht="12.75">
      <c r="A632" s="83">
        <v>38133</v>
      </c>
      <c r="B632" s="80">
        <v>0.875</v>
      </c>
      <c r="C632" s="78">
        <v>21</v>
      </c>
      <c r="D632" s="79">
        <v>3</v>
      </c>
      <c r="G632" s="83">
        <v>38133</v>
      </c>
      <c r="H632" s="80">
        <v>0.875</v>
      </c>
      <c r="I632" s="78">
        <v>19</v>
      </c>
      <c r="J632" s="79">
        <v>8</v>
      </c>
      <c r="M632" s="83">
        <v>38133</v>
      </c>
      <c r="N632" s="80">
        <v>0.875</v>
      </c>
      <c r="O632" s="78">
        <v>76</v>
      </c>
      <c r="P632" s="79">
        <v>11</v>
      </c>
    </row>
    <row r="633" spans="1:16" ht="12.75">
      <c r="A633" s="83">
        <v>38133</v>
      </c>
      <c r="B633" s="80">
        <v>0.9166666666666666</v>
      </c>
      <c r="C633" s="78">
        <v>11</v>
      </c>
      <c r="D633" s="79">
        <v>3</v>
      </c>
      <c r="G633" s="83">
        <v>38133</v>
      </c>
      <c r="H633" s="80">
        <v>0.9166666666666666</v>
      </c>
      <c r="I633" s="78">
        <v>4</v>
      </c>
      <c r="J633" s="79">
        <v>0</v>
      </c>
      <c r="M633" s="83">
        <v>38133</v>
      </c>
      <c r="N633" s="80">
        <v>0.9166666666666666</v>
      </c>
      <c r="O633" s="78">
        <v>86</v>
      </c>
      <c r="P633" s="79">
        <v>53</v>
      </c>
    </row>
    <row r="634" spans="1:16" ht="12.75">
      <c r="A634" s="83">
        <v>38133</v>
      </c>
      <c r="B634" s="80">
        <v>0.9583333333333334</v>
      </c>
      <c r="C634" s="78">
        <v>15</v>
      </c>
      <c r="D634" s="79">
        <v>5</v>
      </c>
      <c r="G634" s="83">
        <v>38133</v>
      </c>
      <c r="H634" s="80">
        <v>0.9583333333333334</v>
      </c>
      <c r="I634" s="78">
        <v>6</v>
      </c>
      <c r="J634" s="79">
        <v>3</v>
      </c>
      <c r="M634" s="83">
        <v>38133</v>
      </c>
      <c r="N634" s="80">
        <v>0.9583333333333334</v>
      </c>
      <c r="O634" s="78">
        <v>84</v>
      </c>
      <c r="P634" s="79">
        <v>74</v>
      </c>
    </row>
    <row r="635" spans="1:16" ht="12.75">
      <c r="A635" s="83">
        <v>38133</v>
      </c>
      <c r="B635" s="81">
        <v>1</v>
      </c>
      <c r="C635" s="78">
        <v>11</v>
      </c>
      <c r="D635" s="79">
        <v>5</v>
      </c>
      <c r="G635" s="83">
        <v>38133</v>
      </c>
      <c r="H635" s="81">
        <v>1</v>
      </c>
      <c r="I635" s="78">
        <v>10</v>
      </c>
      <c r="J635" s="79">
        <v>3</v>
      </c>
      <c r="M635" s="83">
        <v>38133</v>
      </c>
      <c r="N635" s="81">
        <v>1</v>
      </c>
      <c r="O635" s="78">
        <v>78</v>
      </c>
      <c r="P635" s="79">
        <v>77</v>
      </c>
    </row>
    <row r="636" spans="1:16" s="92" customFormat="1" ht="12.75">
      <c r="A636" s="90">
        <v>38134</v>
      </c>
      <c r="B636" s="91">
        <v>0.041666666666666664</v>
      </c>
      <c r="C636" s="92">
        <v>10</v>
      </c>
      <c r="D636" s="92">
        <v>5</v>
      </c>
      <c r="G636" s="90">
        <v>38134</v>
      </c>
      <c r="H636" s="91">
        <v>0.041666666666666664</v>
      </c>
      <c r="I636" s="92">
        <v>0</v>
      </c>
      <c r="J636" s="92">
        <v>3</v>
      </c>
      <c r="M636" s="90">
        <v>38134</v>
      </c>
      <c r="N636" s="91">
        <v>0.041666666666666664</v>
      </c>
      <c r="O636" s="92">
        <v>52</v>
      </c>
      <c r="P636" s="92">
        <v>24</v>
      </c>
    </row>
    <row r="637" spans="1:16" ht="12.75">
      <c r="A637" s="83">
        <v>38134</v>
      </c>
      <c r="B637" s="80">
        <v>0.08333333333333333</v>
      </c>
      <c r="C637" s="78">
        <v>11</v>
      </c>
      <c r="D637" s="79">
        <v>5</v>
      </c>
      <c r="G637" s="83">
        <v>38134</v>
      </c>
      <c r="H637" s="80">
        <v>0.08333333333333333</v>
      </c>
      <c r="I637" s="78">
        <v>8</v>
      </c>
      <c r="J637" s="79">
        <v>3</v>
      </c>
      <c r="M637" s="83">
        <v>38134</v>
      </c>
      <c r="N637" s="80">
        <v>0.08333333333333333</v>
      </c>
      <c r="O637" s="78">
        <v>36</v>
      </c>
      <c r="P637" s="79">
        <v>5</v>
      </c>
    </row>
    <row r="638" spans="1:16" ht="12.75">
      <c r="A638" s="83">
        <v>38134</v>
      </c>
      <c r="B638" s="80">
        <v>0.125</v>
      </c>
      <c r="C638" s="78">
        <v>11</v>
      </c>
      <c r="D638" s="79">
        <v>5</v>
      </c>
      <c r="G638" s="83">
        <v>38134</v>
      </c>
      <c r="H638" s="80">
        <v>0.125</v>
      </c>
      <c r="I638" s="78">
        <v>2</v>
      </c>
      <c r="J638" s="79">
        <v>0</v>
      </c>
      <c r="M638" s="83">
        <v>38134</v>
      </c>
      <c r="N638" s="80">
        <v>0.125</v>
      </c>
      <c r="O638" s="78">
        <v>31</v>
      </c>
      <c r="P638" s="79">
        <v>5</v>
      </c>
    </row>
    <row r="639" spans="1:16" ht="12.75">
      <c r="A639" s="83">
        <v>38134</v>
      </c>
      <c r="B639" s="80">
        <v>0.16666666666666666</v>
      </c>
      <c r="C639" s="78">
        <v>10</v>
      </c>
      <c r="D639" s="79">
        <v>3</v>
      </c>
      <c r="G639" s="83">
        <v>38134</v>
      </c>
      <c r="H639" s="80">
        <v>0.16666666666666666</v>
      </c>
      <c r="I639" s="78">
        <v>2</v>
      </c>
      <c r="J639" s="79">
        <v>0</v>
      </c>
      <c r="M639" s="83">
        <v>38134</v>
      </c>
      <c r="N639" s="80">
        <v>0.16666666666666666</v>
      </c>
      <c r="O639" s="78">
        <v>59</v>
      </c>
      <c r="P639" s="79">
        <v>3</v>
      </c>
    </row>
    <row r="640" spans="1:16" ht="12.75">
      <c r="A640" s="83">
        <v>38134</v>
      </c>
      <c r="B640" s="80">
        <v>0.20833333333333334</v>
      </c>
      <c r="C640" s="78">
        <v>10</v>
      </c>
      <c r="D640" s="79">
        <v>5</v>
      </c>
      <c r="G640" s="83">
        <v>38134</v>
      </c>
      <c r="H640" s="80">
        <v>0.20833333333333334</v>
      </c>
      <c r="I640" s="78">
        <v>6</v>
      </c>
      <c r="J640" s="79">
        <v>0</v>
      </c>
      <c r="M640" s="83">
        <v>38134</v>
      </c>
      <c r="N640" s="80">
        <v>0.20833333333333334</v>
      </c>
      <c r="O640" s="78">
        <v>65</v>
      </c>
      <c r="P640" s="79">
        <v>3</v>
      </c>
    </row>
    <row r="641" spans="1:16" ht="12.75">
      <c r="A641" s="83">
        <v>38134</v>
      </c>
      <c r="B641" s="80">
        <v>0.25</v>
      </c>
      <c r="C641" s="78">
        <v>10</v>
      </c>
      <c r="D641" s="79">
        <v>3</v>
      </c>
      <c r="G641" s="83">
        <v>38134</v>
      </c>
      <c r="H641" s="80">
        <v>0.25</v>
      </c>
      <c r="I641" s="78">
        <v>17</v>
      </c>
      <c r="J641" s="79">
        <v>0</v>
      </c>
      <c r="M641" s="83">
        <v>38134</v>
      </c>
      <c r="N641" s="80">
        <v>0.25</v>
      </c>
      <c r="O641" s="78">
        <v>57</v>
      </c>
      <c r="P641" s="79">
        <v>3</v>
      </c>
    </row>
    <row r="642" spans="1:16" ht="12.75">
      <c r="A642" s="83">
        <v>38134</v>
      </c>
      <c r="B642" s="80">
        <v>0.2916666666666667</v>
      </c>
      <c r="C642" s="78">
        <v>17</v>
      </c>
      <c r="D642" s="79">
        <v>3</v>
      </c>
      <c r="G642" s="83">
        <v>38134</v>
      </c>
      <c r="H642" s="80">
        <v>0.2916666666666667</v>
      </c>
      <c r="I642" s="78">
        <v>21</v>
      </c>
      <c r="J642" s="79">
        <v>0</v>
      </c>
      <c r="M642" s="83">
        <v>38134</v>
      </c>
      <c r="N642" s="80">
        <v>0.2916666666666667</v>
      </c>
      <c r="O642" s="78">
        <v>69</v>
      </c>
      <c r="P642" s="79">
        <v>3</v>
      </c>
    </row>
    <row r="643" spans="1:16" ht="12.75">
      <c r="A643" s="83">
        <v>38134</v>
      </c>
      <c r="B643" s="80">
        <v>0.3333333333333333</v>
      </c>
      <c r="C643" s="78">
        <v>17</v>
      </c>
      <c r="D643" s="79">
        <v>5</v>
      </c>
      <c r="G643" s="83">
        <v>38134</v>
      </c>
      <c r="H643" s="80">
        <v>0.3333333333333333</v>
      </c>
      <c r="I643" s="78">
        <v>31</v>
      </c>
      <c r="J643" s="79">
        <v>3</v>
      </c>
      <c r="M643" s="83">
        <v>38134</v>
      </c>
      <c r="N643" s="80">
        <v>0.3333333333333333</v>
      </c>
      <c r="O643" s="78">
        <v>69</v>
      </c>
      <c r="P643" s="79">
        <v>8</v>
      </c>
    </row>
    <row r="644" spans="1:16" ht="12.75">
      <c r="A644" s="83">
        <v>38134</v>
      </c>
      <c r="B644" s="80">
        <v>0.375</v>
      </c>
      <c r="C644" s="78">
        <v>19</v>
      </c>
      <c r="D644" s="79">
        <v>5</v>
      </c>
      <c r="G644" s="83">
        <v>38134</v>
      </c>
      <c r="H644" s="80">
        <v>0.375</v>
      </c>
      <c r="I644" s="78">
        <v>27</v>
      </c>
      <c r="J644" s="79">
        <v>0</v>
      </c>
      <c r="M644" s="83">
        <v>38134</v>
      </c>
      <c r="N644" s="80">
        <v>0.375</v>
      </c>
      <c r="O644" s="78">
        <v>80</v>
      </c>
      <c r="P644" s="79">
        <v>8</v>
      </c>
    </row>
    <row r="645" spans="1:16" ht="12.75">
      <c r="A645" s="83">
        <v>38134</v>
      </c>
      <c r="B645" s="80">
        <v>0.4166666666666667</v>
      </c>
      <c r="C645" s="78">
        <v>15</v>
      </c>
      <c r="D645" s="79">
        <v>5</v>
      </c>
      <c r="G645" s="83">
        <v>38134</v>
      </c>
      <c r="H645" s="80">
        <v>0.4166666666666667</v>
      </c>
      <c r="I645" s="78">
        <v>19</v>
      </c>
      <c r="J645" s="79">
        <v>0</v>
      </c>
      <c r="M645" s="83">
        <v>38134</v>
      </c>
      <c r="N645" s="80">
        <v>0.4166666666666667</v>
      </c>
      <c r="O645" s="78">
        <v>69</v>
      </c>
      <c r="P645" s="79">
        <v>5</v>
      </c>
    </row>
    <row r="646" spans="1:16" ht="12.75">
      <c r="A646" s="83">
        <v>38134</v>
      </c>
      <c r="B646" s="80">
        <v>0.4583333333333333</v>
      </c>
      <c r="C646" s="78">
        <v>17</v>
      </c>
      <c r="D646" s="79">
        <v>8</v>
      </c>
      <c r="G646" s="83">
        <v>38134</v>
      </c>
      <c r="H646" s="80">
        <v>0.4583333333333333</v>
      </c>
      <c r="M646" s="83">
        <v>38134</v>
      </c>
      <c r="N646" s="80">
        <v>0.4583333333333333</v>
      </c>
      <c r="O646" s="78">
        <v>63</v>
      </c>
      <c r="P646" s="79">
        <v>5</v>
      </c>
    </row>
    <row r="647" spans="1:16" ht="12.75">
      <c r="A647" s="83">
        <v>38134</v>
      </c>
      <c r="B647" s="80">
        <v>0.5</v>
      </c>
      <c r="G647" s="83">
        <v>38134</v>
      </c>
      <c r="H647" s="80">
        <v>0.5</v>
      </c>
      <c r="I647" s="78">
        <v>11</v>
      </c>
      <c r="J647" s="79">
        <v>5</v>
      </c>
      <c r="M647" s="83">
        <v>38134</v>
      </c>
      <c r="N647" s="80">
        <v>0.5</v>
      </c>
      <c r="O647" s="78">
        <v>57</v>
      </c>
      <c r="P647" s="79">
        <v>5</v>
      </c>
    </row>
    <row r="648" spans="1:16" ht="12.75">
      <c r="A648" s="83">
        <v>38134</v>
      </c>
      <c r="B648" s="80">
        <v>0.5416666666666666</v>
      </c>
      <c r="D648" s="79">
        <v>5</v>
      </c>
      <c r="G648" s="83">
        <v>38134</v>
      </c>
      <c r="H648" s="80">
        <v>0.5416666666666666</v>
      </c>
      <c r="I648" s="78">
        <v>11</v>
      </c>
      <c r="J648" s="79">
        <v>3</v>
      </c>
      <c r="M648" s="83">
        <v>38134</v>
      </c>
      <c r="N648" s="80">
        <v>0.5416666666666666</v>
      </c>
      <c r="O648" s="78">
        <v>67</v>
      </c>
      <c r="P648" s="79">
        <v>8</v>
      </c>
    </row>
    <row r="649" spans="1:16" ht="12.75">
      <c r="A649" s="83">
        <v>38134</v>
      </c>
      <c r="B649" s="80">
        <v>0.5833333333333334</v>
      </c>
      <c r="C649" s="78">
        <v>17</v>
      </c>
      <c r="D649" s="79">
        <v>5</v>
      </c>
      <c r="G649" s="83">
        <v>38134</v>
      </c>
      <c r="H649" s="80">
        <v>0.5833333333333334</v>
      </c>
      <c r="I649" s="78">
        <v>17</v>
      </c>
      <c r="J649" s="79">
        <v>3</v>
      </c>
      <c r="M649" s="83">
        <v>38134</v>
      </c>
      <c r="N649" s="80">
        <v>0.5833333333333334</v>
      </c>
      <c r="O649" s="78">
        <v>67</v>
      </c>
      <c r="P649" s="79">
        <v>5</v>
      </c>
    </row>
    <row r="650" spans="1:16" ht="12.75">
      <c r="A650" s="83">
        <v>38134</v>
      </c>
      <c r="B650" s="80">
        <v>0.625</v>
      </c>
      <c r="C650" s="78">
        <v>17</v>
      </c>
      <c r="D650" s="79">
        <v>5</v>
      </c>
      <c r="G650" s="83">
        <v>38134</v>
      </c>
      <c r="H650" s="80">
        <v>0.625</v>
      </c>
      <c r="I650" s="78">
        <v>21</v>
      </c>
      <c r="J650" s="79">
        <v>3</v>
      </c>
      <c r="M650" s="83">
        <v>38134</v>
      </c>
      <c r="N650" s="80">
        <v>0.625</v>
      </c>
      <c r="O650" s="78">
        <v>74</v>
      </c>
      <c r="P650" s="79">
        <v>8</v>
      </c>
    </row>
    <row r="651" spans="1:16" ht="12.75">
      <c r="A651" s="83">
        <v>38134</v>
      </c>
      <c r="B651" s="80">
        <v>0.6666666666666666</v>
      </c>
      <c r="C651" s="78">
        <v>27</v>
      </c>
      <c r="D651" s="79">
        <v>5</v>
      </c>
      <c r="G651" s="83">
        <v>38134</v>
      </c>
      <c r="H651" s="80">
        <v>0.6666666666666666</v>
      </c>
      <c r="I651" s="78">
        <v>23</v>
      </c>
      <c r="J651" s="79">
        <v>3</v>
      </c>
      <c r="M651" s="83">
        <v>38134</v>
      </c>
      <c r="N651" s="80">
        <v>0.6666666666666666</v>
      </c>
      <c r="O651" s="78">
        <v>74</v>
      </c>
      <c r="P651" s="79">
        <v>11</v>
      </c>
    </row>
    <row r="652" spans="1:16" ht="12.75">
      <c r="A652" s="83">
        <v>38134</v>
      </c>
      <c r="B652" s="80">
        <v>0.7083333333333334</v>
      </c>
      <c r="C652" s="78">
        <v>21</v>
      </c>
      <c r="D652" s="79">
        <v>3</v>
      </c>
      <c r="G652" s="83">
        <v>38134</v>
      </c>
      <c r="H652" s="80">
        <v>0.7083333333333334</v>
      </c>
      <c r="I652" s="78">
        <v>17</v>
      </c>
      <c r="J652" s="79">
        <v>5</v>
      </c>
      <c r="M652" s="83">
        <v>38134</v>
      </c>
      <c r="N652" s="80">
        <v>0.7083333333333334</v>
      </c>
      <c r="O652" s="78">
        <v>71</v>
      </c>
      <c r="P652" s="79">
        <v>13</v>
      </c>
    </row>
    <row r="653" spans="1:16" ht="12.75">
      <c r="A653" s="83">
        <v>38134</v>
      </c>
      <c r="B653" s="80">
        <v>0.75</v>
      </c>
      <c r="C653" s="78">
        <v>19</v>
      </c>
      <c r="D653" s="79">
        <v>3</v>
      </c>
      <c r="G653" s="83">
        <v>38134</v>
      </c>
      <c r="H653" s="80">
        <v>0.75</v>
      </c>
      <c r="I653" s="78">
        <v>19</v>
      </c>
      <c r="J653" s="79">
        <v>8</v>
      </c>
      <c r="M653" s="83">
        <v>38134</v>
      </c>
      <c r="N653" s="80">
        <v>0.75</v>
      </c>
      <c r="O653" s="78">
        <v>74</v>
      </c>
      <c r="P653" s="79">
        <v>24</v>
      </c>
    </row>
    <row r="654" spans="1:16" ht="12.75">
      <c r="A654" s="83">
        <v>38134</v>
      </c>
      <c r="B654" s="80">
        <v>0.7916666666666666</v>
      </c>
      <c r="C654" s="78">
        <v>17</v>
      </c>
      <c r="D654" s="79">
        <v>3</v>
      </c>
      <c r="G654" s="83">
        <v>38134</v>
      </c>
      <c r="H654" s="80">
        <v>0.7916666666666666</v>
      </c>
      <c r="I654" s="78">
        <v>15</v>
      </c>
      <c r="J654" s="79">
        <v>5</v>
      </c>
      <c r="M654" s="83">
        <v>38134</v>
      </c>
      <c r="N654" s="80">
        <v>0.7916666666666666</v>
      </c>
      <c r="O654" s="78">
        <v>90</v>
      </c>
      <c r="P654" s="79">
        <v>24</v>
      </c>
    </row>
    <row r="655" spans="1:16" ht="12.75">
      <c r="A655" s="83">
        <v>38134</v>
      </c>
      <c r="B655" s="80">
        <v>0.8333333333333334</v>
      </c>
      <c r="C655" s="78">
        <v>17</v>
      </c>
      <c r="D655" s="79">
        <v>3</v>
      </c>
      <c r="G655" s="83">
        <v>38134</v>
      </c>
      <c r="H655" s="80">
        <v>0.8333333333333334</v>
      </c>
      <c r="I655" s="78">
        <v>15</v>
      </c>
      <c r="J655" s="79">
        <v>8</v>
      </c>
      <c r="M655" s="83">
        <v>38134</v>
      </c>
      <c r="N655" s="80">
        <v>0.8333333333333334</v>
      </c>
      <c r="O655" s="78">
        <v>92</v>
      </c>
      <c r="P655" s="79">
        <v>11</v>
      </c>
    </row>
    <row r="656" spans="1:16" ht="12.75">
      <c r="A656" s="83">
        <v>38134</v>
      </c>
      <c r="B656" s="80">
        <v>0.875</v>
      </c>
      <c r="C656" s="78">
        <v>17</v>
      </c>
      <c r="D656" s="79">
        <v>3</v>
      </c>
      <c r="G656" s="83">
        <v>38134</v>
      </c>
      <c r="H656" s="80">
        <v>0.875</v>
      </c>
      <c r="I656" s="78">
        <v>31</v>
      </c>
      <c r="J656" s="79">
        <v>11</v>
      </c>
      <c r="M656" s="83">
        <v>38134</v>
      </c>
      <c r="N656" s="80">
        <v>0.875</v>
      </c>
      <c r="O656" s="78">
        <v>90</v>
      </c>
      <c r="P656" s="79">
        <v>32</v>
      </c>
    </row>
    <row r="657" spans="1:16" ht="12.75">
      <c r="A657" s="83">
        <v>38134</v>
      </c>
      <c r="B657" s="80">
        <v>0.9166666666666666</v>
      </c>
      <c r="C657" s="78">
        <v>15</v>
      </c>
      <c r="D657" s="79">
        <v>3</v>
      </c>
      <c r="G657" s="83">
        <v>38134</v>
      </c>
      <c r="H657" s="80">
        <v>0.9166666666666666</v>
      </c>
      <c r="I657" s="78">
        <v>36</v>
      </c>
      <c r="J657" s="79">
        <v>11</v>
      </c>
      <c r="M657" s="83">
        <v>38134</v>
      </c>
      <c r="N657" s="80">
        <v>0.9166666666666666</v>
      </c>
      <c r="O657" s="78">
        <v>84</v>
      </c>
      <c r="P657" s="79">
        <v>13</v>
      </c>
    </row>
    <row r="658" spans="1:16" ht="12.75">
      <c r="A658" s="83">
        <v>38134</v>
      </c>
      <c r="B658" s="80">
        <v>0.9583333333333334</v>
      </c>
      <c r="C658" s="78">
        <v>15</v>
      </c>
      <c r="D658" s="79">
        <v>3</v>
      </c>
      <c r="G658" s="83">
        <v>38134</v>
      </c>
      <c r="H658" s="80">
        <v>0.9583333333333334</v>
      </c>
      <c r="I658" s="78">
        <v>38</v>
      </c>
      <c r="J658" s="79">
        <v>8</v>
      </c>
      <c r="M658" s="83">
        <v>38134</v>
      </c>
      <c r="N658" s="80">
        <v>0.9583333333333334</v>
      </c>
      <c r="O658" s="78">
        <v>74</v>
      </c>
      <c r="P658" s="79">
        <v>5</v>
      </c>
    </row>
    <row r="659" spans="1:16" ht="12.75">
      <c r="A659" s="83">
        <v>38134</v>
      </c>
      <c r="B659" s="81">
        <v>1</v>
      </c>
      <c r="C659" s="78">
        <v>11</v>
      </c>
      <c r="D659" s="79">
        <v>3</v>
      </c>
      <c r="G659" s="83">
        <v>38134</v>
      </c>
      <c r="H659" s="81">
        <v>1</v>
      </c>
      <c r="I659" s="78">
        <v>36</v>
      </c>
      <c r="J659" s="79">
        <v>5</v>
      </c>
      <c r="M659" s="83">
        <v>38134</v>
      </c>
      <c r="N659" s="81">
        <v>1</v>
      </c>
      <c r="O659" s="78">
        <v>67</v>
      </c>
      <c r="P659" s="79">
        <v>3</v>
      </c>
    </row>
    <row r="660" spans="1:16" s="92" customFormat="1" ht="12.75">
      <c r="A660" s="90">
        <v>38135</v>
      </c>
      <c r="B660" s="91">
        <v>0.041666666666666664</v>
      </c>
      <c r="C660" s="92">
        <v>17</v>
      </c>
      <c r="D660" s="92">
        <v>11</v>
      </c>
      <c r="G660" s="90">
        <v>38135</v>
      </c>
      <c r="H660" s="91">
        <v>0.041666666666666664</v>
      </c>
      <c r="I660" s="92">
        <v>32</v>
      </c>
      <c r="J660" s="92">
        <v>5</v>
      </c>
      <c r="M660" s="90">
        <v>38135</v>
      </c>
      <c r="N660" s="91">
        <v>0.041666666666666664</v>
      </c>
      <c r="O660" s="92">
        <v>52</v>
      </c>
      <c r="P660" s="92">
        <v>3</v>
      </c>
    </row>
    <row r="661" spans="1:16" ht="12.75">
      <c r="A661" s="83">
        <v>38135</v>
      </c>
      <c r="B661" s="80">
        <v>0.08333333333333333</v>
      </c>
      <c r="C661" s="78">
        <v>17</v>
      </c>
      <c r="D661" s="79">
        <v>0</v>
      </c>
      <c r="G661" s="83">
        <v>38135</v>
      </c>
      <c r="H661" s="80">
        <v>0.08333333333333333</v>
      </c>
      <c r="I661" s="78">
        <v>27</v>
      </c>
      <c r="J661" s="79">
        <v>5</v>
      </c>
      <c r="M661" s="83">
        <v>38135</v>
      </c>
      <c r="N661" s="80">
        <v>0.08333333333333333</v>
      </c>
      <c r="O661" s="78">
        <v>52</v>
      </c>
      <c r="P661" s="79">
        <v>3</v>
      </c>
    </row>
    <row r="662" spans="1:16" ht="12.75">
      <c r="A662" s="83">
        <v>38135</v>
      </c>
      <c r="B662" s="80">
        <v>0.125</v>
      </c>
      <c r="C662" s="78">
        <v>11</v>
      </c>
      <c r="D662" s="79">
        <v>11</v>
      </c>
      <c r="G662" s="83">
        <v>38135</v>
      </c>
      <c r="H662" s="80">
        <v>0.125</v>
      </c>
      <c r="I662" s="78">
        <v>31</v>
      </c>
      <c r="J662" s="79">
        <v>5</v>
      </c>
      <c r="M662" s="83">
        <v>38135</v>
      </c>
      <c r="N662" s="80">
        <v>0.125</v>
      </c>
      <c r="O662" s="78">
        <v>52</v>
      </c>
      <c r="P662" s="79">
        <v>0</v>
      </c>
    </row>
    <row r="663" spans="1:16" ht="12.75">
      <c r="A663" s="83">
        <v>38135</v>
      </c>
      <c r="B663" s="80">
        <v>0.16666666666666666</v>
      </c>
      <c r="C663" s="78">
        <v>11</v>
      </c>
      <c r="D663" s="79">
        <v>16</v>
      </c>
      <c r="G663" s="83">
        <v>38135</v>
      </c>
      <c r="H663" s="80">
        <v>0.16666666666666666</v>
      </c>
      <c r="I663" s="78">
        <v>21</v>
      </c>
      <c r="J663" s="79">
        <v>5</v>
      </c>
      <c r="M663" s="83">
        <v>38135</v>
      </c>
      <c r="N663" s="80">
        <v>0.16666666666666666</v>
      </c>
      <c r="O663" s="78">
        <v>48</v>
      </c>
      <c r="P663" s="79">
        <v>3</v>
      </c>
    </row>
    <row r="664" spans="1:16" ht="12.75">
      <c r="A664" s="83">
        <v>38135</v>
      </c>
      <c r="B664" s="80">
        <v>0.20833333333333334</v>
      </c>
      <c r="C664" s="78">
        <v>15</v>
      </c>
      <c r="D664" s="79">
        <v>16</v>
      </c>
      <c r="G664" s="83">
        <v>38135</v>
      </c>
      <c r="H664" s="80">
        <v>0.20833333333333334</v>
      </c>
      <c r="I664" s="78">
        <v>19</v>
      </c>
      <c r="J664" s="79">
        <v>5</v>
      </c>
      <c r="M664" s="83">
        <v>38135</v>
      </c>
      <c r="N664" s="80">
        <v>0.20833333333333334</v>
      </c>
      <c r="O664" s="78">
        <v>63</v>
      </c>
      <c r="P664" s="79">
        <v>3</v>
      </c>
    </row>
    <row r="665" spans="1:16" ht="12.75">
      <c r="A665" s="83">
        <v>38135</v>
      </c>
      <c r="B665" s="80">
        <v>0.25</v>
      </c>
      <c r="C665" s="78">
        <v>13</v>
      </c>
      <c r="D665" s="79">
        <v>16</v>
      </c>
      <c r="G665" s="83">
        <v>38135</v>
      </c>
      <c r="H665" s="80">
        <v>0.25</v>
      </c>
      <c r="I665" s="78">
        <v>23</v>
      </c>
      <c r="J665" s="79">
        <v>5</v>
      </c>
      <c r="M665" s="83">
        <v>38135</v>
      </c>
      <c r="N665" s="80">
        <v>0.25</v>
      </c>
      <c r="O665" s="78">
        <v>78</v>
      </c>
      <c r="P665" s="79">
        <v>5</v>
      </c>
    </row>
    <row r="666" spans="1:16" ht="12.75">
      <c r="A666" s="83">
        <v>38135</v>
      </c>
      <c r="B666" s="80">
        <v>0.2916666666666667</v>
      </c>
      <c r="C666" s="78">
        <v>19</v>
      </c>
      <c r="D666" s="79">
        <v>16</v>
      </c>
      <c r="G666" s="83">
        <v>38135</v>
      </c>
      <c r="H666" s="80">
        <v>0.2916666666666667</v>
      </c>
      <c r="I666" s="78">
        <v>21</v>
      </c>
      <c r="J666" s="79">
        <v>3</v>
      </c>
      <c r="M666" s="83">
        <v>38135</v>
      </c>
      <c r="N666" s="80">
        <v>0.2916666666666667</v>
      </c>
      <c r="O666" s="78">
        <v>84</v>
      </c>
      <c r="P666" s="79">
        <v>8</v>
      </c>
    </row>
    <row r="667" spans="1:16" ht="12.75">
      <c r="A667" s="83">
        <v>38135</v>
      </c>
      <c r="B667" s="80">
        <v>0.3333333333333333</v>
      </c>
      <c r="C667" s="78">
        <v>23</v>
      </c>
      <c r="D667" s="79">
        <v>16</v>
      </c>
      <c r="G667" s="83">
        <v>38135</v>
      </c>
      <c r="H667" s="80">
        <v>0.3333333333333333</v>
      </c>
      <c r="I667" s="78">
        <v>23</v>
      </c>
      <c r="J667" s="79">
        <v>3</v>
      </c>
      <c r="M667" s="83">
        <v>38135</v>
      </c>
      <c r="N667" s="80">
        <v>0.3333333333333333</v>
      </c>
      <c r="O667" s="78">
        <v>82</v>
      </c>
      <c r="P667" s="79">
        <v>8</v>
      </c>
    </row>
    <row r="668" spans="1:16" ht="12.75">
      <c r="A668" s="83">
        <v>38135</v>
      </c>
      <c r="B668" s="80">
        <v>0.375</v>
      </c>
      <c r="C668" s="78">
        <v>27</v>
      </c>
      <c r="D668" s="79">
        <v>16</v>
      </c>
      <c r="G668" s="83">
        <v>38135</v>
      </c>
      <c r="H668" s="80">
        <v>0.375</v>
      </c>
      <c r="I668" s="78">
        <v>31</v>
      </c>
      <c r="J668" s="79">
        <v>5</v>
      </c>
      <c r="M668" s="83">
        <v>38135</v>
      </c>
      <c r="N668" s="80">
        <v>0.375</v>
      </c>
      <c r="O668" s="78">
        <v>84</v>
      </c>
      <c r="P668" s="79">
        <v>5</v>
      </c>
    </row>
    <row r="669" spans="1:16" ht="12.75">
      <c r="A669" s="83">
        <v>38135</v>
      </c>
      <c r="B669" s="80">
        <v>0.4166666666666667</v>
      </c>
      <c r="C669" s="78">
        <v>25</v>
      </c>
      <c r="D669" s="79">
        <v>16</v>
      </c>
      <c r="G669" s="83">
        <v>38135</v>
      </c>
      <c r="H669" s="80">
        <v>0.4166666666666667</v>
      </c>
      <c r="I669" s="78">
        <v>38</v>
      </c>
      <c r="J669" s="79">
        <v>5</v>
      </c>
      <c r="M669" s="83">
        <v>38135</v>
      </c>
      <c r="N669" s="80">
        <v>0.4166666666666667</v>
      </c>
      <c r="O669" s="78">
        <v>86</v>
      </c>
      <c r="P669" s="79">
        <v>5</v>
      </c>
    </row>
    <row r="670" spans="1:16" ht="12.75">
      <c r="A670" s="83">
        <v>38135</v>
      </c>
      <c r="B670" s="80">
        <v>0.4583333333333333</v>
      </c>
      <c r="C670" s="78">
        <v>31</v>
      </c>
      <c r="D670" s="79">
        <v>13</v>
      </c>
      <c r="G670" s="83">
        <v>38135</v>
      </c>
      <c r="H670" s="80">
        <v>0.4583333333333333</v>
      </c>
      <c r="I670" s="78">
        <v>34</v>
      </c>
      <c r="J670" s="79">
        <v>8</v>
      </c>
      <c r="M670" s="83">
        <v>38135</v>
      </c>
      <c r="N670" s="80">
        <v>0.4583333333333333</v>
      </c>
      <c r="O670" s="78">
        <v>80</v>
      </c>
      <c r="P670" s="79">
        <v>5</v>
      </c>
    </row>
    <row r="671" spans="1:16" ht="12.75">
      <c r="A671" s="83">
        <v>38135</v>
      </c>
      <c r="B671" s="80">
        <v>0.5</v>
      </c>
      <c r="C671" s="78">
        <v>31</v>
      </c>
      <c r="D671" s="79">
        <v>11</v>
      </c>
      <c r="G671" s="83">
        <v>38135</v>
      </c>
      <c r="H671" s="80">
        <v>0.5</v>
      </c>
      <c r="I671" s="78">
        <v>32</v>
      </c>
      <c r="J671" s="79">
        <v>5</v>
      </c>
      <c r="M671" s="83">
        <v>38135</v>
      </c>
      <c r="N671" s="80">
        <v>0.5</v>
      </c>
      <c r="O671" s="78">
        <v>90</v>
      </c>
      <c r="P671" s="79">
        <v>5</v>
      </c>
    </row>
    <row r="672" spans="1:16" ht="12.75">
      <c r="A672" s="83">
        <v>38135</v>
      </c>
      <c r="B672" s="80">
        <v>0.5416666666666666</v>
      </c>
      <c r="C672" s="78">
        <v>27</v>
      </c>
      <c r="D672" s="79">
        <v>11</v>
      </c>
      <c r="G672" s="83">
        <v>38135</v>
      </c>
      <c r="H672" s="80">
        <v>0.5416666666666666</v>
      </c>
      <c r="I672" s="78">
        <v>42</v>
      </c>
      <c r="J672" s="79">
        <v>5</v>
      </c>
      <c r="M672" s="83">
        <v>38135</v>
      </c>
      <c r="N672" s="80">
        <v>0.5416666666666666</v>
      </c>
      <c r="O672" s="78">
        <v>97</v>
      </c>
      <c r="P672" s="79">
        <v>5</v>
      </c>
    </row>
    <row r="673" spans="1:16" ht="12.75">
      <c r="A673" s="83">
        <v>38135</v>
      </c>
      <c r="B673" s="80">
        <v>0.5833333333333334</v>
      </c>
      <c r="C673" s="78">
        <v>23</v>
      </c>
      <c r="D673" s="79">
        <v>11</v>
      </c>
      <c r="G673" s="83">
        <v>38135</v>
      </c>
      <c r="H673" s="80">
        <v>0.5833333333333334</v>
      </c>
      <c r="I673" s="78">
        <v>44</v>
      </c>
      <c r="J673" s="79">
        <v>5</v>
      </c>
      <c r="M673" s="83">
        <v>38135</v>
      </c>
      <c r="N673" s="80">
        <v>0.5833333333333334</v>
      </c>
      <c r="O673" s="78">
        <v>99</v>
      </c>
      <c r="P673" s="79">
        <v>5</v>
      </c>
    </row>
    <row r="674" spans="1:16" ht="12.75">
      <c r="A674" s="83">
        <v>38135</v>
      </c>
      <c r="B674" s="80">
        <v>0.625</v>
      </c>
      <c r="C674" s="78">
        <v>19</v>
      </c>
      <c r="D674" s="79">
        <v>11</v>
      </c>
      <c r="G674" s="83">
        <v>38135</v>
      </c>
      <c r="H674" s="80">
        <v>0.625</v>
      </c>
      <c r="I674" s="78">
        <v>42</v>
      </c>
      <c r="J674" s="79">
        <v>3</v>
      </c>
      <c r="M674" s="83">
        <v>38135</v>
      </c>
      <c r="N674" s="80">
        <v>0.625</v>
      </c>
      <c r="O674" s="78">
        <v>97</v>
      </c>
      <c r="P674" s="79">
        <v>5</v>
      </c>
    </row>
    <row r="675" spans="1:16" ht="12.75">
      <c r="A675" s="83">
        <v>38135</v>
      </c>
      <c r="B675" s="80">
        <v>0.6666666666666666</v>
      </c>
      <c r="C675" s="78">
        <v>21</v>
      </c>
      <c r="D675" s="79">
        <v>11</v>
      </c>
      <c r="G675" s="83">
        <v>38135</v>
      </c>
      <c r="H675" s="80">
        <v>0.6666666666666666</v>
      </c>
      <c r="I675" s="78">
        <v>42</v>
      </c>
      <c r="J675" s="79">
        <v>3</v>
      </c>
      <c r="M675" s="83">
        <v>38135</v>
      </c>
      <c r="N675" s="80">
        <v>0.6666666666666666</v>
      </c>
      <c r="O675" s="78">
        <v>99</v>
      </c>
      <c r="P675" s="79">
        <v>3</v>
      </c>
    </row>
    <row r="676" spans="1:16" ht="12.75">
      <c r="A676" s="83">
        <v>38135</v>
      </c>
      <c r="B676" s="80">
        <v>0.7083333333333334</v>
      </c>
      <c r="C676" s="78">
        <v>23</v>
      </c>
      <c r="D676" s="79">
        <v>11</v>
      </c>
      <c r="G676" s="83">
        <v>38135</v>
      </c>
      <c r="H676" s="80">
        <v>0.7083333333333334</v>
      </c>
      <c r="I676" s="78">
        <v>38</v>
      </c>
      <c r="J676" s="79">
        <v>3</v>
      </c>
      <c r="M676" s="83">
        <v>38135</v>
      </c>
      <c r="N676" s="80">
        <v>0.7083333333333334</v>
      </c>
      <c r="O676" s="78">
        <v>101</v>
      </c>
      <c r="P676" s="79">
        <v>3</v>
      </c>
    </row>
    <row r="677" spans="1:16" ht="12.75">
      <c r="A677" s="83">
        <v>38135</v>
      </c>
      <c r="B677" s="80">
        <v>0.75</v>
      </c>
      <c r="C677" s="78">
        <v>15</v>
      </c>
      <c r="D677" s="79">
        <v>11</v>
      </c>
      <c r="G677" s="83">
        <v>38135</v>
      </c>
      <c r="H677" s="80">
        <v>0.75</v>
      </c>
      <c r="I677" s="78">
        <v>29</v>
      </c>
      <c r="J677" s="79">
        <v>0</v>
      </c>
      <c r="M677" s="83">
        <v>38135</v>
      </c>
      <c r="N677" s="80">
        <v>0.75</v>
      </c>
      <c r="O677" s="78">
        <v>113</v>
      </c>
      <c r="P677" s="79">
        <v>3</v>
      </c>
    </row>
    <row r="678" spans="1:16" ht="12.75">
      <c r="A678" s="83">
        <v>38135</v>
      </c>
      <c r="B678" s="80">
        <v>0.7916666666666666</v>
      </c>
      <c r="C678" s="78">
        <v>13</v>
      </c>
      <c r="D678" s="79">
        <v>11</v>
      </c>
      <c r="G678" s="83">
        <v>38135</v>
      </c>
      <c r="H678" s="80">
        <v>0.7916666666666666</v>
      </c>
      <c r="I678" s="78">
        <v>34</v>
      </c>
      <c r="J678" s="79">
        <v>0</v>
      </c>
      <c r="M678" s="83">
        <v>38135</v>
      </c>
      <c r="N678" s="80">
        <v>0.7916666666666666</v>
      </c>
      <c r="O678" s="78">
        <v>118</v>
      </c>
      <c r="P678" s="79">
        <v>3</v>
      </c>
    </row>
    <row r="679" spans="1:16" ht="12.75">
      <c r="A679" s="83">
        <v>38135</v>
      </c>
      <c r="B679" s="80">
        <v>0.8333333333333334</v>
      </c>
      <c r="C679" s="78">
        <v>17</v>
      </c>
      <c r="D679" s="79">
        <v>11</v>
      </c>
      <c r="G679" s="83">
        <v>38135</v>
      </c>
      <c r="H679" s="80">
        <v>0.8333333333333334</v>
      </c>
      <c r="I679" s="78">
        <v>38</v>
      </c>
      <c r="J679" s="79">
        <v>0</v>
      </c>
      <c r="M679" s="83">
        <v>38135</v>
      </c>
      <c r="N679" s="80">
        <v>0.8333333333333334</v>
      </c>
      <c r="O679" s="78">
        <v>118</v>
      </c>
      <c r="P679" s="79">
        <v>3</v>
      </c>
    </row>
    <row r="680" spans="1:16" ht="12.75">
      <c r="A680" s="83">
        <v>38135</v>
      </c>
      <c r="B680" s="80">
        <v>0.875</v>
      </c>
      <c r="C680" s="78">
        <v>19</v>
      </c>
      <c r="D680" s="79">
        <v>11</v>
      </c>
      <c r="G680" s="83">
        <v>38135</v>
      </c>
      <c r="H680" s="80">
        <v>0.875</v>
      </c>
      <c r="I680" s="78">
        <v>44</v>
      </c>
      <c r="J680" s="79">
        <v>0</v>
      </c>
      <c r="M680" s="83">
        <v>38135</v>
      </c>
      <c r="N680" s="80">
        <v>0.875</v>
      </c>
      <c r="O680" s="78">
        <v>115</v>
      </c>
      <c r="P680" s="79">
        <v>3</v>
      </c>
    </row>
    <row r="681" spans="1:16" ht="12.75">
      <c r="A681" s="83">
        <v>38135</v>
      </c>
      <c r="B681" s="80">
        <v>0.9166666666666666</v>
      </c>
      <c r="C681" s="78">
        <v>27</v>
      </c>
      <c r="D681" s="79">
        <v>11</v>
      </c>
      <c r="G681" s="83">
        <v>38135</v>
      </c>
      <c r="H681" s="80">
        <v>0.9166666666666666</v>
      </c>
      <c r="I681" s="78">
        <v>44</v>
      </c>
      <c r="J681" s="79">
        <v>3</v>
      </c>
      <c r="M681" s="83">
        <v>38135</v>
      </c>
      <c r="N681" s="80">
        <v>0.9166666666666666</v>
      </c>
      <c r="O681" s="78">
        <v>109</v>
      </c>
      <c r="P681" s="79">
        <v>3</v>
      </c>
    </row>
    <row r="682" spans="1:16" ht="12.75">
      <c r="A682" s="83">
        <v>38135</v>
      </c>
      <c r="B682" s="80">
        <v>0.9583333333333334</v>
      </c>
      <c r="C682" s="78">
        <v>27</v>
      </c>
      <c r="D682" s="79">
        <v>11</v>
      </c>
      <c r="G682" s="83">
        <v>38135</v>
      </c>
      <c r="H682" s="80">
        <v>0.9583333333333334</v>
      </c>
      <c r="I682" s="78">
        <v>38</v>
      </c>
      <c r="J682" s="79">
        <v>3</v>
      </c>
      <c r="M682" s="83">
        <v>38135</v>
      </c>
      <c r="N682" s="80">
        <v>0.9583333333333334</v>
      </c>
      <c r="O682" s="78">
        <v>103</v>
      </c>
      <c r="P682" s="79">
        <v>3</v>
      </c>
    </row>
    <row r="683" spans="1:16" ht="12.75">
      <c r="A683" s="83">
        <v>38135</v>
      </c>
      <c r="B683" s="81">
        <v>1</v>
      </c>
      <c r="C683" s="78">
        <v>19</v>
      </c>
      <c r="D683" s="79">
        <v>11</v>
      </c>
      <c r="G683" s="83">
        <v>38135</v>
      </c>
      <c r="H683" s="81">
        <v>1</v>
      </c>
      <c r="I683" s="78">
        <v>46</v>
      </c>
      <c r="J683" s="79">
        <v>3</v>
      </c>
      <c r="M683" s="83">
        <v>38135</v>
      </c>
      <c r="N683" s="81">
        <v>1</v>
      </c>
      <c r="O683" s="78">
        <v>80</v>
      </c>
      <c r="P683" s="79">
        <v>3</v>
      </c>
    </row>
    <row r="684" spans="1:16" s="92" customFormat="1" ht="12.75">
      <c r="A684" s="90">
        <v>38136</v>
      </c>
      <c r="B684" s="91">
        <v>0.041666666666666664</v>
      </c>
      <c r="C684" s="92">
        <v>17</v>
      </c>
      <c r="D684" s="92">
        <v>3</v>
      </c>
      <c r="G684" s="90">
        <v>38136</v>
      </c>
      <c r="H684" s="91">
        <v>0.041666666666666664</v>
      </c>
      <c r="I684" s="92">
        <v>48</v>
      </c>
      <c r="J684" s="92">
        <v>3</v>
      </c>
      <c r="M684" s="90">
        <v>38136</v>
      </c>
      <c r="N684" s="91">
        <v>0.041666666666666664</v>
      </c>
      <c r="O684" s="92">
        <v>67</v>
      </c>
      <c r="P684" s="92">
        <v>5</v>
      </c>
    </row>
    <row r="685" spans="1:16" ht="12.75">
      <c r="A685" s="83">
        <v>38136</v>
      </c>
      <c r="B685" s="80">
        <v>0.08333333333333333</v>
      </c>
      <c r="C685" s="78">
        <v>11</v>
      </c>
      <c r="D685" s="79">
        <v>3</v>
      </c>
      <c r="G685" s="83">
        <v>38136</v>
      </c>
      <c r="H685" s="80">
        <v>0.08333333333333333</v>
      </c>
      <c r="I685" s="78">
        <v>36</v>
      </c>
      <c r="J685" s="79">
        <v>3</v>
      </c>
      <c r="M685" s="83">
        <v>38136</v>
      </c>
      <c r="N685" s="80">
        <v>0.08333333333333333</v>
      </c>
      <c r="O685" s="78">
        <v>65</v>
      </c>
      <c r="P685" s="79">
        <v>5</v>
      </c>
    </row>
    <row r="686" spans="1:16" ht="12.75">
      <c r="A686" s="83">
        <v>38136</v>
      </c>
      <c r="B686" s="80">
        <v>0.125</v>
      </c>
      <c r="C686" s="78">
        <v>10</v>
      </c>
      <c r="D686" s="79">
        <v>0</v>
      </c>
      <c r="G686" s="83">
        <v>38136</v>
      </c>
      <c r="H686" s="80">
        <v>0.125</v>
      </c>
      <c r="I686" s="78">
        <v>29</v>
      </c>
      <c r="J686" s="79">
        <v>3</v>
      </c>
      <c r="M686" s="83">
        <v>38136</v>
      </c>
      <c r="N686" s="80">
        <v>0.125</v>
      </c>
      <c r="O686" s="78">
        <v>92</v>
      </c>
      <c r="P686" s="79">
        <v>5</v>
      </c>
    </row>
    <row r="687" spans="1:16" ht="12.75">
      <c r="A687" s="83">
        <v>38136</v>
      </c>
      <c r="B687" s="80">
        <v>0.16666666666666666</v>
      </c>
      <c r="C687" s="78">
        <v>8</v>
      </c>
      <c r="D687" s="79">
        <v>0</v>
      </c>
      <c r="G687" s="83">
        <v>38136</v>
      </c>
      <c r="H687" s="80">
        <v>0.16666666666666666</v>
      </c>
      <c r="I687" s="78">
        <v>29</v>
      </c>
      <c r="J687" s="79">
        <v>0</v>
      </c>
      <c r="M687" s="83">
        <v>38136</v>
      </c>
      <c r="N687" s="80">
        <v>0.16666666666666666</v>
      </c>
      <c r="O687" s="78">
        <v>88</v>
      </c>
      <c r="P687" s="79">
        <v>5</v>
      </c>
    </row>
    <row r="688" spans="1:16" ht="12.75">
      <c r="A688" s="83">
        <v>38136</v>
      </c>
      <c r="B688" s="80">
        <v>0.20833333333333334</v>
      </c>
      <c r="C688" s="78">
        <v>8</v>
      </c>
      <c r="D688" s="79">
        <v>0</v>
      </c>
      <c r="G688" s="83">
        <v>38136</v>
      </c>
      <c r="H688" s="80">
        <v>0.20833333333333334</v>
      </c>
      <c r="I688" s="78">
        <v>23</v>
      </c>
      <c r="J688" s="79">
        <v>0</v>
      </c>
      <c r="M688" s="83">
        <v>38136</v>
      </c>
      <c r="N688" s="80">
        <v>0.20833333333333334</v>
      </c>
      <c r="O688" s="78">
        <v>97</v>
      </c>
      <c r="P688" s="79">
        <v>5</v>
      </c>
    </row>
    <row r="689" spans="1:16" ht="12.75">
      <c r="A689" s="83">
        <v>38136</v>
      </c>
      <c r="B689" s="80">
        <v>0.25</v>
      </c>
      <c r="C689" s="78">
        <v>11</v>
      </c>
      <c r="D689" s="79">
        <v>0</v>
      </c>
      <c r="G689" s="83">
        <v>38136</v>
      </c>
      <c r="H689" s="80">
        <v>0.25</v>
      </c>
      <c r="I689" s="78">
        <v>27</v>
      </c>
      <c r="J689" s="79">
        <v>0</v>
      </c>
      <c r="M689" s="83">
        <v>38136</v>
      </c>
      <c r="N689" s="80">
        <v>0.25</v>
      </c>
      <c r="O689" s="78">
        <v>99</v>
      </c>
      <c r="P689" s="79">
        <v>5</v>
      </c>
    </row>
    <row r="690" spans="1:16" ht="12.75">
      <c r="A690" s="83">
        <v>38136</v>
      </c>
      <c r="B690" s="80">
        <v>0.2916666666666667</v>
      </c>
      <c r="C690" s="78">
        <v>23</v>
      </c>
      <c r="D690" s="79">
        <v>3</v>
      </c>
      <c r="G690" s="83">
        <v>38136</v>
      </c>
      <c r="H690" s="80">
        <v>0.2916666666666667</v>
      </c>
      <c r="I690" s="78">
        <v>31</v>
      </c>
      <c r="J690" s="79">
        <v>0</v>
      </c>
      <c r="M690" s="83">
        <v>38136</v>
      </c>
      <c r="N690" s="80">
        <v>0.2916666666666667</v>
      </c>
      <c r="O690" s="78">
        <v>101</v>
      </c>
      <c r="P690" s="79">
        <v>8</v>
      </c>
    </row>
    <row r="691" spans="1:16" ht="12.75">
      <c r="A691" s="83">
        <v>38136</v>
      </c>
      <c r="B691" s="80">
        <v>0.3333333333333333</v>
      </c>
      <c r="C691" s="78">
        <v>23</v>
      </c>
      <c r="D691" s="79">
        <v>3</v>
      </c>
      <c r="G691" s="83">
        <v>38136</v>
      </c>
      <c r="H691" s="80">
        <v>0.3333333333333333</v>
      </c>
      <c r="I691" s="78">
        <v>29</v>
      </c>
      <c r="J691" s="79">
        <v>3</v>
      </c>
      <c r="M691" s="83">
        <v>38136</v>
      </c>
      <c r="N691" s="80">
        <v>0.3333333333333333</v>
      </c>
      <c r="O691" s="78">
        <v>97</v>
      </c>
      <c r="P691" s="79">
        <v>8</v>
      </c>
    </row>
    <row r="692" spans="1:16" ht="12.75">
      <c r="A692" s="83">
        <v>38136</v>
      </c>
      <c r="B692" s="80">
        <v>0.375</v>
      </c>
      <c r="C692" s="78">
        <v>23</v>
      </c>
      <c r="D692" s="79">
        <v>13</v>
      </c>
      <c r="G692" s="83">
        <v>38136</v>
      </c>
      <c r="H692" s="80">
        <v>0.375</v>
      </c>
      <c r="I692" s="78">
        <v>27</v>
      </c>
      <c r="J692" s="79">
        <v>3</v>
      </c>
      <c r="M692" s="83">
        <v>38136</v>
      </c>
      <c r="N692" s="80">
        <v>0.375</v>
      </c>
      <c r="O692" s="78">
        <v>99</v>
      </c>
      <c r="P692" s="79">
        <v>8</v>
      </c>
    </row>
    <row r="693" spans="1:16" ht="12.75">
      <c r="A693" s="83">
        <v>38136</v>
      </c>
      <c r="B693" s="80">
        <v>0.4166666666666667</v>
      </c>
      <c r="C693" s="78">
        <v>25</v>
      </c>
      <c r="D693" s="79">
        <v>8</v>
      </c>
      <c r="G693" s="83">
        <v>38136</v>
      </c>
      <c r="H693" s="80">
        <v>0.4166666666666667</v>
      </c>
      <c r="I693" s="78">
        <v>31</v>
      </c>
      <c r="J693" s="79">
        <v>3</v>
      </c>
      <c r="M693" s="83">
        <v>38136</v>
      </c>
      <c r="N693" s="80">
        <v>0.4166666666666667</v>
      </c>
      <c r="O693" s="78">
        <v>90</v>
      </c>
      <c r="P693" s="79">
        <v>8</v>
      </c>
    </row>
    <row r="694" spans="1:16" ht="12.75">
      <c r="A694" s="83">
        <v>38136</v>
      </c>
      <c r="B694" s="80">
        <v>0.4583333333333333</v>
      </c>
      <c r="C694" s="78">
        <v>21</v>
      </c>
      <c r="D694" s="79">
        <v>11</v>
      </c>
      <c r="G694" s="83">
        <v>38136</v>
      </c>
      <c r="H694" s="80">
        <v>0.4583333333333333</v>
      </c>
      <c r="I694" s="78">
        <v>36</v>
      </c>
      <c r="J694" s="79">
        <v>3</v>
      </c>
      <c r="M694" s="83">
        <v>38136</v>
      </c>
      <c r="N694" s="80">
        <v>0.4583333333333333</v>
      </c>
      <c r="O694" s="78">
        <v>88</v>
      </c>
      <c r="P694" s="79">
        <v>5</v>
      </c>
    </row>
    <row r="695" spans="1:16" ht="12.75">
      <c r="A695" s="83">
        <v>38136</v>
      </c>
      <c r="B695" s="80">
        <v>0.5</v>
      </c>
      <c r="C695" s="78">
        <v>36</v>
      </c>
      <c r="D695" s="79">
        <v>45</v>
      </c>
      <c r="G695" s="83">
        <v>38136</v>
      </c>
      <c r="H695" s="80">
        <v>0.5</v>
      </c>
      <c r="I695" s="78">
        <v>42</v>
      </c>
      <c r="J695" s="79">
        <v>3</v>
      </c>
      <c r="M695" s="83">
        <v>38136</v>
      </c>
      <c r="N695" s="80">
        <v>0.5</v>
      </c>
      <c r="O695" s="78">
        <v>78</v>
      </c>
      <c r="P695" s="79">
        <v>5</v>
      </c>
    </row>
    <row r="696" spans="1:16" ht="12.75">
      <c r="A696" s="83">
        <v>38136</v>
      </c>
      <c r="B696" s="80">
        <v>0.5416666666666666</v>
      </c>
      <c r="C696" s="78">
        <v>11</v>
      </c>
      <c r="D696" s="79">
        <v>5</v>
      </c>
      <c r="G696" s="83">
        <v>38136</v>
      </c>
      <c r="H696" s="80">
        <v>0.5416666666666666</v>
      </c>
      <c r="I696" s="78">
        <v>42</v>
      </c>
      <c r="J696" s="79">
        <v>3</v>
      </c>
      <c r="M696" s="83">
        <v>38136</v>
      </c>
      <c r="N696" s="80">
        <v>0.5416666666666666</v>
      </c>
      <c r="O696" s="78">
        <v>74</v>
      </c>
      <c r="P696" s="79">
        <v>5</v>
      </c>
    </row>
    <row r="697" spans="1:16" ht="12.75">
      <c r="A697" s="83">
        <v>38136</v>
      </c>
      <c r="B697" s="80">
        <v>0.5833333333333334</v>
      </c>
      <c r="C697" s="78">
        <v>23</v>
      </c>
      <c r="D697" s="79">
        <v>29</v>
      </c>
      <c r="G697" s="83">
        <v>38136</v>
      </c>
      <c r="H697" s="80">
        <v>0.5833333333333334</v>
      </c>
      <c r="I697" s="78">
        <v>36</v>
      </c>
      <c r="J697" s="79">
        <v>3</v>
      </c>
      <c r="M697" s="83">
        <v>38136</v>
      </c>
      <c r="N697" s="80">
        <v>0.5833333333333334</v>
      </c>
      <c r="O697" s="78">
        <v>80</v>
      </c>
      <c r="P697" s="79">
        <v>5</v>
      </c>
    </row>
    <row r="698" spans="1:16" ht="12.75">
      <c r="A698" s="83">
        <v>38136</v>
      </c>
      <c r="B698" s="80">
        <v>0.625</v>
      </c>
      <c r="C698" s="78">
        <v>13</v>
      </c>
      <c r="D698" s="79">
        <v>8</v>
      </c>
      <c r="G698" s="83">
        <v>38136</v>
      </c>
      <c r="H698" s="80">
        <v>0.625</v>
      </c>
      <c r="I698" s="78">
        <v>29</v>
      </c>
      <c r="J698" s="79">
        <v>3</v>
      </c>
      <c r="M698" s="83">
        <v>38136</v>
      </c>
      <c r="N698" s="80">
        <v>0.625</v>
      </c>
      <c r="O698" s="78">
        <v>78</v>
      </c>
      <c r="P698" s="79">
        <v>3</v>
      </c>
    </row>
    <row r="699" spans="1:16" ht="12.75">
      <c r="A699" s="83">
        <v>38136</v>
      </c>
      <c r="B699" s="80">
        <v>0.6666666666666666</v>
      </c>
      <c r="C699" s="78">
        <v>6</v>
      </c>
      <c r="D699" s="79">
        <v>3</v>
      </c>
      <c r="G699" s="83">
        <v>38136</v>
      </c>
      <c r="H699" s="80">
        <v>0.6666666666666666</v>
      </c>
      <c r="I699" s="78">
        <v>29</v>
      </c>
      <c r="J699" s="79">
        <v>3</v>
      </c>
      <c r="M699" s="83">
        <v>38136</v>
      </c>
      <c r="N699" s="80">
        <v>0.6666666666666666</v>
      </c>
      <c r="O699" s="78">
        <v>78</v>
      </c>
      <c r="P699" s="79">
        <v>3</v>
      </c>
    </row>
    <row r="700" spans="1:16" ht="12.75">
      <c r="A700" s="83">
        <v>38136</v>
      </c>
      <c r="B700" s="80">
        <v>0.7083333333333334</v>
      </c>
      <c r="C700" s="78">
        <v>6</v>
      </c>
      <c r="D700" s="79">
        <v>0</v>
      </c>
      <c r="G700" s="83">
        <v>38136</v>
      </c>
      <c r="H700" s="80">
        <v>0.7083333333333334</v>
      </c>
      <c r="I700" s="78">
        <v>21</v>
      </c>
      <c r="J700" s="79">
        <v>3</v>
      </c>
      <c r="M700" s="83">
        <v>38136</v>
      </c>
      <c r="N700" s="80">
        <v>0.7083333333333334</v>
      </c>
      <c r="O700" s="78">
        <v>50</v>
      </c>
      <c r="P700" s="79">
        <v>3</v>
      </c>
    </row>
    <row r="701" spans="1:16" ht="12.75">
      <c r="A701" s="83">
        <v>38136</v>
      </c>
      <c r="B701" s="80">
        <v>0.75</v>
      </c>
      <c r="C701" s="78">
        <v>13</v>
      </c>
      <c r="D701" s="79">
        <v>0</v>
      </c>
      <c r="G701" s="83">
        <v>38136</v>
      </c>
      <c r="H701" s="80">
        <v>0.75</v>
      </c>
      <c r="I701" s="78">
        <v>17</v>
      </c>
      <c r="J701" s="79">
        <v>0</v>
      </c>
      <c r="M701" s="83">
        <v>38136</v>
      </c>
      <c r="N701" s="80">
        <v>0.75</v>
      </c>
      <c r="O701" s="78">
        <v>59</v>
      </c>
      <c r="P701" s="79">
        <v>3</v>
      </c>
    </row>
    <row r="702" spans="1:16" ht="12.75">
      <c r="A702" s="83">
        <v>38136</v>
      </c>
      <c r="B702" s="80">
        <v>0.7916666666666666</v>
      </c>
      <c r="C702" s="78">
        <v>15</v>
      </c>
      <c r="D702" s="79">
        <v>0</v>
      </c>
      <c r="G702" s="83">
        <v>38136</v>
      </c>
      <c r="H702" s="80">
        <v>0.7916666666666666</v>
      </c>
      <c r="I702" s="78">
        <v>32</v>
      </c>
      <c r="J702" s="79">
        <v>0</v>
      </c>
      <c r="M702" s="83">
        <v>38136</v>
      </c>
      <c r="N702" s="80">
        <v>0.7916666666666666</v>
      </c>
      <c r="O702" s="78">
        <v>40</v>
      </c>
      <c r="P702" s="79">
        <v>3</v>
      </c>
    </row>
    <row r="703" spans="1:16" ht="12.75">
      <c r="A703" s="83">
        <v>38136</v>
      </c>
      <c r="B703" s="80">
        <v>0.8333333333333334</v>
      </c>
      <c r="C703" s="78">
        <v>19</v>
      </c>
      <c r="D703" s="79">
        <v>0</v>
      </c>
      <c r="G703" s="83">
        <v>38136</v>
      </c>
      <c r="H703" s="80">
        <v>0.8333333333333334</v>
      </c>
      <c r="I703" s="78">
        <v>19</v>
      </c>
      <c r="J703" s="79">
        <v>0</v>
      </c>
      <c r="M703" s="83">
        <v>38136</v>
      </c>
      <c r="N703" s="80">
        <v>0.8333333333333334</v>
      </c>
      <c r="O703" s="78">
        <v>38</v>
      </c>
      <c r="P703" s="79">
        <v>3</v>
      </c>
    </row>
    <row r="704" spans="1:16" ht="12.75">
      <c r="A704" s="83">
        <v>38136</v>
      </c>
      <c r="B704" s="80">
        <v>0.875</v>
      </c>
      <c r="C704" s="78">
        <v>25</v>
      </c>
      <c r="D704" s="79">
        <v>0</v>
      </c>
      <c r="G704" s="83">
        <v>38136</v>
      </c>
      <c r="H704" s="80">
        <v>0.875</v>
      </c>
      <c r="I704" s="78">
        <v>15</v>
      </c>
      <c r="J704" s="79">
        <v>0</v>
      </c>
      <c r="M704" s="83">
        <v>38136</v>
      </c>
      <c r="N704" s="80">
        <v>0.875</v>
      </c>
      <c r="O704" s="78">
        <v>69</v>
      </c>
      <c r="P704" s="79">
        <v>3</v>
      </c>
    </row>
    <row r="705" spans="1:16" ht="12.75">
      <c r="A705" s="83">
        <v>38136</v>
      </c>
      <c r="B705" s="80">
        <v>0.9166666666666666</v>
      </c>
      <c r="C705" s="78">
        <v>15</v>
      </c>
      <c r="D705" s="79">
        <v>0</v>
      </c>
      <c r="G705" s="83">
        <v>38136</v>
      </c>
      <c r="H705" s="80">
        <v>0.9166666666666666</v>
      </c>
      <c r="I705" s="78">
        <v>19</v>
      </c>
      <c r="J705" s="79">
        <v>0</v>
      </c>
      <c r="M705" s="83">
        <v>38136</v>
      </c>
      <c r="N705" s="80">
        <v>0.9166666666666666</v>
      </c>
      <c r="O705" s="78">
        <v>67</v>
      </c>
      <c r="P705" s="79">
        <v>3</v>
      </c>
    </row>
    <row r="706" spans="1:16" ht="12.75">
      <c r="A706" s="83">
        <v>38136</v>
      </c>
      <c r="B706" s="80">
        <v>0.9583333333333334</v>
      </c>
      <c r="C706" s="78">
        <v>25</v>
      </c>
      <c r="D706" s="79">
        <v>0</v>
      </c>
      <c r="G706" s="83">
        <v>38136</v>
      </c>
      <c r="H706" s="80">
        <v>0.9583333333333334</v>
      </c>
      <c r="I706" s="78">
        <v>19</v>
      </c>
      <c r="J706" s="79">
        <v>0</v>
      </c>
      <c r="M706" s="83">
        <v>38136</v>
      </c>
      <c r="N706" s="80">
        <v>0.9583333333333334</v>
      </c>
      <c r="O706" s="78">
        <v>42</v>
      </c>
      <c r="P706" s="79">
        <v>3</v>
      </c>
    </row>
    <row r="707" spans="1:16" ht="12.75">
      <c r="A707" s="83">
        <v>38136</v>
      </c>
      <c r="B707" s="81">
        <v>1</v>
      </c>
      <c r="C707" s="78">
        <v>21</v>
      </c>
      <c r="D707" s="79">
        <v>3</v>
      </c>
      <c r="G707" s="83">
        <v>38136</v>
      </c>
      <c r="H707" s="81">
        <v>1</v>
      </c>
      <c r="I707" s="78">
        <v>36</v>
      </c>
      <c r="J707" s="79">
        <v>0</v>
      </c>
      <c r="M707" s="83">
        <v>38136</v>
      </c>
      <c r="N707" s="81">
        <v>1</v>
      </c>
      <c r="O707" s="78">
        <v>48</v>
      </c>
      <c r="P707" s="79">
        <v>0</v>
      </c>
    </row>
    <row r="708" spans="1:16" s="92" customFormat="1" ht="12.75">
      <c r="A708" s="90">
        <v>38137</v>
      </c>
      <c r="B708" s="91">
        <v>0.041666666666666664</v>
      </c>
      <c r="C708" s="92">
        <v>23</v>
      </c>
      <c r="D708" s="92">
        <v>0</v>
      </c>
      <c r="G708" s="90">
        <v>38137</v>
      </c>
      <c r="H708" s="91">
        <v>0.041666666666666664</v>
      </c>
      <c r="I708" s="92">
        <v>52</v>
      </c>
      <c r="J708" s="92">
        <v>0</v>
      </c>
      <c r="M708" s="90">
        <v>38137</v>
      </c>
      <c r="N708" s="91">
        <v>0.041666666666666664</v>
      </c>
      <c r="O708" s="92">
        <v>42</v>
      </c>
      <c r="P708" s="92">
        <v>0</v>
      </c>
    </row>
    <row r="709" spans="1:16" ht="12.75">
      <c r="A709" s="83">
        <v>38137</v>
      </c>
      <c r="B709" s="80">
        <v>0.08333333333333333</v>
      </c>
      <c r="C709" s="78">
        <v>27</v>
      </c>
      <c r="D709" s="79">
        <v>3</v>
      </c>
      <c r="G709" s="83">
        <v>38137</v>
      </c>
      <c r="H709" s="80">
        <v>0.08333333333333333</v>
      </c>
      <c r="I709" s="78">
        <v>53</v>
      </c>
      <c r="J709" s="79">
        <v>0</v>
      </c>
      <c r="M709" s="83">
        <v>38137</v>
      </c>
      <c r="N709" s="80">
        <v>0.08333333333333333</v>
      </c>
      <c r="O709" s="78">
        <v>38</v>
      </c>
      <c r="P709" s="79">
        <v>0</v>
      </c>
    </row>
    <row r="710" spans="1:16" ht="12.75">
      <c r="A710" s="83">
        <v>38137</v>
      </c>
      <c r="B710" s="80">
        <v>0.125</v>
      </c>
      <c r="C710" s="78">
        <v>32</v>
      </c>
      <c r="D710" s="79">
        <v>3</v>
      </c>
      <c r="G710" s="83">
        <v>38137</v>
      </c>
      <c r="H710" s="80">
        <v>0.125</v>
      </c>
      <c r="I710" s="78">
        <v>55</v>
      </c>
      <c r="J710" s="79">
        <v>0</v>
      </c>
      <c r="M710" s="83">
        <v>38137</v>
      </c>
      <c r="N710" s="80">
        <v>0.125</v>
      </c>
      <c r="O710" s="78">
        <v>34</v>
      </c>
      <c r="P710" s="79">
        <v>0</v>
      </c>
    </row>
    <row r="711" spans="1:16" ht="12.75">
      <c r="A711" s="83">
        <v>38137</v>
      </c>
      <c r="B711" s="80">
        <v>0.16666666666666666</v>
      </c>
      <c r="C711" s="78">
        <v>32</v>
      </c>
      <c r="D711" s="79">
        <v>3</v>
      </c>
      <c r="G711" s="83">
        <v>38137</v>
      </c>
      <c r="H711" s="80">
        <v>0.16666666666666666</v>
      </c>
      <c r="I711" s="78">
        <v>36</v>
      </c>
      <c r="J711" s="79">
        <v>0</v>
      </c>
      <c r="M711" s="83">
        <v>38137</v>
      </c>
      <c r="N711" s="80">
        <v>0.16666666666666666</v>
      </c>
      <c r="O711" s="78">
        <v>31</v>
      </c>
      <c r="P711" s="79">
        <v>0</v>
      </c>
    </row>
    <row r="712" spans="1:16" ht="12.75">
      <c r="A712" s="83">
        <v>38137</v>
      </c>
      <c r="B712" s="80">
        <v>0.20833333333333334</v>
      </c>
      <c r="C712" s="78">
        <v>29</v>
      </c>
      <c r="D712" s="79">
        <v>3</v>
      </c>
      <c r="G712" s="83">
        <v>38137</v>
      </c>
      <c r="H712" s="80">
        <v>0.20833333333333334</v>
      </c>
      <c r="I712" s="78">
        <v>29</v>
      </c>
      <c r="J712" s="79">
        <v>0</v>
      </c>
      <c r="M712" s="83">
        <v>38137</v>
      </c>
      <c r="N712" s="80">
        <v>0.20833333333333334</v>
      </c>
      <c r="O712" s="78">
        <v>34</v>
      </c>
      <c r="P712" s="79">
        <v>3</v>
      </c>
    </row>
    <row r="713" spans="1:16" ht="12.75">
      <c r="A713" s="83">
        <v>38137</v>
      </c>
      <c r="B713" s="80">
        <v>0.25</v>
      </c>
      <c r="C713" s="78">
        <v>25</v>
      </c>
      <c r="D713" s="79">
        <v>3</v>
      </c>
      <c r="G713" s="83">
        <v>38137</v>
      </c>
      <c r="H713" s="80">
        <v>0.25</v>
      </c>
      <c r="I713" s="78">
        <v>44</v>
      </c>
      <c r="J713" s="79">
        <v>3</v>
      </c>
      <c r="M713" s="83">
        <v>38137</v>
      </c>
      <c r="N713" s="80">
        <v>0.25</v>
      </c>
      <c r="O713" s="78">
        <v>38</v>
      </c>
      <c r="P713" s="79">
        <v>3</v>
      </c>
    </row>
    <row r="714" spans="1:16" ht="12.75">
      <c r="A714" s="83">
        <v>38137</v>
      </c>
      <c r="B714" s="80">
        <v>0.2916666666666667</v>
      </c>
      <c r="C714" s="78">
        <v>15</v>
      </c>
      <c r="D714" s="79">
        <v>0</v>
      </c>
      <c r="G714" s="83">
        <v>38137</v>
      </c>
      <c r="H714" s="80">
        <v>0.2916666666666667</v>
      </c>
      <c r="I714" s="78">
        <v>31</v>
      </c>
      <c r="J714" s="79">
        <v>0</v>
      </c>
      <c r="M714" s="83">
        <v>38137</v>
      </c>
      <c r="N714" s="80">
        <v>0.2916666666666667</v>
      </c>
      <c r="O714" s="78">
        <v>29</v>
      </c>
      <c r="P714" s="79">
        <v>3</v>
      </c>
    </row>
    <row r="715" spans="1:16" ht="12.75">
      <c r="A715" s="83">
        <v>38137</v>
      </c>
      <c r="B715" s="80">
        <v>0.3333333333333333</v>
      </c>
      <c r="C715" s="78">
        <v>11</v>
      </c>
      <c r="D715" s="79">
        <v>0</v>
      </c>
      <c r="G715" s="83">
        <v>38137</v>
      </c>
      <c r="H715" s="80">
        <v>0.3333333333333333</v>
      </c>
      <c r="I715" s="78">
        <v>23</v>
      </c>
      <c r="J715" s="79">
        <v>3</v>
      </c>
      <c r="M715" s="83">
        <v>38137</v>
      </c>
      <c r="N715" s="80">
        <v>0.3333333333333333</v>
      </c>
      <c r="O715" s="78">
        <v>29</v>
      </c>
      <c r="P715" s="79">
        <v>5</v>
      </c>
    </row>
    <row r="716" spans="1:16" ht="12.75">
      <c r="A716" s="83">
        <v>38137</v>
      </c>
      <c r="B716" s="80">
        <v>0.375</v>
      </c>
      <c r="C716" s="78">
        <v>6</v>
      </c>
      <c r="D716" s="79">
        <v>0</v>
      </c>
      <c r="G716" s="83">
        <v>38137</v>
      </c>
      <c r="H716" s="80">
        <v>0.375</v>
      </c>
      <c r="I716" s="78">
        <v>17</v>
      </c>
      <c r="J716" s="79">
        <v>0</v>
      </c>
      <c r="M716" s="83">
        <v>38137</v>
      </c>
      <c r="N716" s="80">
        <v>0.375</v>
      </c>
      <c r="O716" s="78">
        <v>23</v>
      </c>
      <c r="P716" s="79">
        <v>3</v>
      </c>
    </row>
    <row r="717" spans="1:16" ht="12.75">
      <c r="A717" s="83">
        <v>38137</v>
      </c>
      <c r="B717" s="80">
        <v>0.4166666666666667</v>
      </c>
      <c r="C717" s="78">
        <v>10</v>
      </c>
      <c r="D717" s="79">
        <v>3</v>
      </c>
      <c r="G717" s="83">
        <v>38137</v>
      </c>
      <c r="H717" s="80">
        <v>0.4166666666666667</v>
      </c>
      <c r="I717" s="78">
        <v>19</v>
      </c>
      <c r="J717" s="79">
        <v>5</v>
      </c>
      <c r="M717" s="83">
        <v>38137</v>
      </c>
      <c r="N717" s="80">
        <v>0.4166666666666667</v>
      </c>
      <c r="O717" s="78">
        <v>19</v>
      </c>
      <c r="P717" s="79">
        <v>5</v>
      </c>
    </row>
    <row r="718" spans="1:16" ht="12.75">
      <c r="A718" s="83">
        <v>38137</v>
      </c>
      <c r="B718" s="80">
        <v>0.4583333333333333</v>
      </c>
      <c r="C718" s="78">
        <v>11</v>
      </c>
      <c r="D718" s="79">
        <v>3</v>
      </c>
      <c r="G718" s="83">
        <v>38137</v>
      </c>
      <c r="H718" s="80">
        <v>0.4583333333333333</v>
      </c>
      <c r="I718" s="78">
        <v>21</v>
      </c>
      <c r="J718" s="79">
        <v>3</v>
      </c>
      <c r="M718" s="83">
        <v>38137</v>
      </c>
      <c r="N718" s="80">
        <v>0.4583333333333333</v>
      </c>
      <c r="O718" s="78">
        <v>40</v>
      </c>
      <c r="P718" s="79">
        <v>5</v>
      </c>
    </row>
    <row r="719" spans="1:16" ht="12.75">
      <c r="A719" s="83">
        <v>38137</v>
      </c>
      <c r="B719" s="80">
        <v>0.5</v>
      </c>
      <c r="C719" s="78">
        <v>10</v>
      </c>
      <c r="D719" s="79">
        <v>0</v>
      </c>
      <c r="G719" s="83">
        <v>38137</v>
      </c>
      <c r="H719" s="80">
        <v>0.5</v>
      </c>
      <c r="I719" s="78">
        <v>23</v>
      </c>
      <c r="J719" s="79">
        <v>3</v>
      </c>
      <c r="M719" s="83">
        <v>38137</v>
      </c>
      <c r="N719" s="80">
        <v>0.5</v>
      </c>
      <c r="O719" s="78">
        <v>19</v>
      </c>
      <c r="P719" s="79">
        <v>3</v>
      </c>
    </row>
    <row r="720" spans="1:16" ht="12.75">
      <c r="A720" s="83">
        <v>38137</v>
      </c>
      <c r="B720" s="80">
        <v>0.5416666666666666</v>
      </c>
      <c r="C720" s="78">
        <v>4</v>
      </c>
      <c r="D720" s="79">
        <v>0</v>
      </c>
      <c r="G720" s="83">
        <v>38137</v>
      </c>
      <c r="H720" s="80">
        <v>0.5416666666666666</v>
      </c>
      <c r="I720" s="78">
        <v>25</v>
      </c>
      <c r="J720" s="79">
        <v>3</v>
      </c>
      <c r="M720" s="83">
        <v>38137</v>
      </c>
      <c r="N720" s="80">
        <v>0.5416666666666666</v>
      </c>
      <c r="O720" s="78">
        <v>38</v>
      </c>
      <c r="P720" s="79">
        <v>3</v>
      </c>
    </row>
    <row r="721" spans="1:16" ht="12.75">
      <c r="A721" s="83">
        <v>38137</v>
      </c>
      <c r="B721" s="80">
        <v>0.5833333333333334</v>
      </c>
      <c r="C721" s="78">
        <v>2</v>
      </c>
      <c r="D721" s="79">
        <v>0</v>
      </c>
      <c r="G721" s="83">
        <v>38137</v>
      </c>
      <c r="H721" s="80">
        <v>0.5833333333333334</v>
      </c>
      <c r="I721" s="78">
        <v>19</v>
      </c>
      <c r="J721" s="79">
        <v>0</v>
      </c>
      <c r="M721" s="83">
        <v>38137</v>
      </c>
      <c r="N721" s="80">
        <v>0.5833333333333334</v>
      </c>
      <c r="O721" s="78">
        <v>29</v>
      </c>
      <c r="P721" s="79">
        <v>0</v>
      </c>
    </row>
    <row r="722" spans="1:16" ht="12.75">
      <c r="A722" s="83">
        <v>38137</v>
      </c>
      <c r="B722" s="80">
        <v>0.625</v>
      </c>
      <c r="C722" s="78">
        <v>6</v>
      </c>
      <c r="D722" s="79">
        <v>0</v>
      </c>
      <c r="G722" s="83">
        <v>38137</v>
      </c>
      <c r="H722" s="80">
        <v>0.625</v>
      </c>
      <c r="I722" s="78">
        <v>21</v>
      </c>
      <c r="J722" s="79">
        <v>0</v>
      </c>
      <c r="M722" s="83">
        <v>38137</v>
      </c>
      <c r="N722" s="80">
        <v>0.625</v>
      </c>
      <c r="O722" s="78">
        <v>13</v>
      </c>
      <c r="P722" s="79">
        <v>0</v>
      </c>
    </row>
    <row r="723" spans="1:16" ht="12.75">
      <c r="A723" s="83">
        <v>38137</v>
      </c>
      <c r="B723" s="80">
        <v>0.6666666666666666</v>
      </c>
      <c r="C723" s="78">
        <v>4</v>
      </c>
      <c r="D723" s="79">
        <v>0</v>
      </c>
      <c r="G723" s="83">
        <v>38137</v>
      </c>
      <c r="H723" s="80">
        <v>0.6666666666666666</v>
      </c>
      <c r="I723" s="78">
        <v>21</v>
      </c>
      <c r="J723" s="79">
        <v>3</v>
      </c>
      <c r="M723" s="83">
        <v>38137</v>
      </c>
      <c r="N723" s="80">
        <v>0.6666666666666666</v>
      </c>
      <c r="O723" s="78">
        <v>63</v>
      </c>
      <c r="P723" s="79">
        <v>0</v>
      </c>
    </row>
    <row r="724" spans="1:16" ht="12.75">
      <c r="A724" s="83">
        <v>38137</v>
      </c>
      <c r="B724" s="80">
        <v>0.7083333333333334</v>
      </c>
      <c r="C724" s="78">
        <v>6</v>
      </c>
      <c r="D724" s="79">
        <v>0</v>
      </c>
      <c r="G724" s="83">
        <v>38137</v>
      </c>
      <c r="H724" s="80">
        <v>0.7083333333333334</v>
      </c>
      <c r="I724" s="78">
        <v>21</v>
      </c>
      <c r="J724" s="79">
        <v>0</v>
      </c>
      <c r="M724" s="83">
        <v>38137</v>
      </c>
      <c r="N724" s="80">
        <v>0.7083333333333334</v>
      </c>
      <c r="O724" s="78">
        <v>57</v>
      </c>
      <c r="P724" s="79">
        <v>0</v>
      </c>
    </row>
    <row r="725" spans="1:16" ht="12.75">
      <c r="A725" s="83">
        <v>38137</v>
      </c>
      <c r="B725" s="80">
        <v>0.75</v>
      </c>
      <c r="C725" s="78">
        <v>15</v>
      </c>
      <c r="D725" s="79">
        <v>0</v>
      </c>
      <c r="G725" s="83">
        <v>38137</v>
      </c>
      <c r="H725" s="80">
        <v>0.75</v>
      </c>
      <c r="I725" s="78">
        <v>19</v>
      </c>
      <c r="J725" s="79">
        <v>3</v>
      </c>
      <c r="M725" s="83">
        <v>38137</v>
      </c>
      <c r="N725" s="80">
        <v>0.75</v>
      </c>
      <c r="O725" s="78">
        <v>65</v>
      </c>
      <c r="P725" s="79">
        <v>3</v>
      </c>
    </row>
    <row r="726" spans="1:16" ht="12.75">
      <c r="A726" s="83">
        <v>38137</v>
      </c>
      <c r="B726" s="80">
        <v>0.7916666666666666</v>
      </c>
      <c r="C726" s="78">
        <v>13</v>
      </c>
      <c r="D726" s="79">
        <v>0</v>
      </c>
      <c r="G726" s="83">
        <v>38137</v>
      </c>
      <c r="H726" s="80">
        <v>0.7916666666666666</v>
      </c>
      <c r="I726" s="78">
        <v>17</v>
      </c>
      <c r="J726" s="79">
        <v>3</v>
      </c>
      <c r="M726" s="83">
        <v>38137</v>
      </c>
      <c r="N726" s="80">
        <v>0.7916666666666666</v>
      </c>
      <c r="O726" s="78">
        <v>67</v>
      </c>
      <c r="P726" s="79">
        <v>3</v>
      </c>
    </row>
    <row r="727" spans="1:16" ht="12.75">
      <c r="A727" s="83">
        <v>38137</v>
      </c>
      <c r="B727" s="80">
        <v>0.8333333333333334</v>
      </c>
      <c r="C727" s="78">
        <v>11</v>
      </c>
      <c r="D727" s="79">
        <v>0</v>
      </c>
      <c r="G727" s="83">
        <v>38137</v>
      </c>
      <c r="H727" s="80">
        <v>0.8333333333333334</v>
      </c>
      <c r="I727" s="78">
        <v>21</v>
      </c>
      <c r="J727" s="79">
        <v>3</v>
      </c>
      <c r="M727" s="83">
        <v>38137</v>
      </c>
      <c r="N727" s="80">
        <v>0.8333333333333334</v>
      </c>
      <c r="O727" s="78">
        <v>69</v>
      </c>
      <c r="P727" s="79">
        <v>0</v>
      </c>
    </row>
    <row r="728" spans="1:16" ht="12.75">
      <c r="A728" s="83">
        <v>38137</v>
      </c>
      <c r="B728" s="80">
        <v>0.875</v>
      </c>
      <c r="C728" s="78">
        <v>11</v>
      </c>
      <c r="D728" s="79">
        <v>0</v>
      </c>
      <c r="G728" s="83">
        <v>38137</v>
      </c>
      <c r="H728" s="80">
        <v>0.875</v>
      </c>
      <c r="I728" s="78">
        <v>32</v>
      </c>
      <c r="J728" s="79">
        <v>0</v>
      </c>
      <c r="M728" s="83">
        <v>38137</v>
      </c>
      <c r="N728" s="80">
        <v>0.875</v>
      </c>
      <c r="O728" s="78">
        <v>73</v>
      </c>
      <c r="P728" s="79">
        <v>3</v>
      </c>
    </row>
    <row r="729" spans="1:16" ht="12.75">
      <c r="A729" s="83">
        <v>38137</v>
      </c>
      <c r="B729" s="80">
        <v>0.9166666666666666</v>
      </c>
      <c r="C729" s="78">
        <v>11</v>
      </c>
      <c r="D729" s="79">
        <v>0</v>
      </c>
      <c r="G729" s="83">
        <v>38137</v>
      </c>
      <c r="H729" s="80">
        <v>0.9166666666666666</v>
      </c>
      <c r="I729" s="78">
        <v>44</v>
      </c>
      <c r="J729" s="79">
        <v>3</v>
      </c>
      <c r="M729" s="83">
        <v>38137</v>
      </c>
      <c r="N729" s="80">
        <v>0.9166666666666666</v>
      </c>
      <c r="O729" s="78">
        <v>69</v>
      </c>
      <c r="P729" s="79">
        <v>0</v>
      </c>
    </row>
    <row r="730" spans="1:16" ht="12.75">
      <c r="A730" s="83">
        <v>38137</v>
      </c>
      <c r="B730" s="80">
        <v>0.9583333333333334</v>
      </c>
      <c r="C730" s="78">
        <v>21</v>
      </c>
      <c r="D730" s="79">
        <v>0</v>
      </c>
      <c r="G730" s="83">
        <v>38137</v>
      </c>
      <c r="H730" s="80">
        <v>0.9583333333333334</v>
      </c>
      <c r="I730" s="78">
        <v>48</v>
      </c>
      <c r="J730" s="79">
        <v>5</v>
      </c>
      <c r="M730" s="83">
        <v>38137</v>
      </c>
      <c r="N730" s="80">
        <v>0.9583333333333334</v>
      </c>
      <c r="O730" s="78">
        <v>71</v>
      </c>
      <c r="P730" s="79">
        <v>3</v>
      </c>
    </row>
    <row r="731" spans="1:16" ht="12.75">
      <c r="A731" s="83">
        <v>38137</v>
      </c>
      <c r="B731" s="81">
        <v>1</v>
      </c>
      <c r="C731" s="78">
        <v>19</v>
      </c>
      <c r="D731" s="79">
        <v>0</v>
      </c>
      <c r="G731" s="83">
        <v>38137</v>
      </c>
      <c r="H731" s="81">
        <v>1</v>
      </c>
      <c r="I731" s="78">
        <v>71</v>
      </c>
      <c r="J731" s="79">
        <v>5</v>
      </c>
      <c r="M731" s="83">
        <v>38137</v>
      </c>
      <c r="N731" s="81">
        <v>1</v>
      </c>
      <c r="O731" s="78">
        <v>57</v>
      </c>
      <c r="P731" s="79">
        <v>0</v>
      </c>
    </row>
    <row r="732" spans="1:16" s="92" customFormat="1" ht="12.75">
      <c r="A732" s="90">
        <v>38138</v>
      </c>
      <c r="B732" s="91">
        <v>0.041666666666666664</v>
      </c>
      <c r="C732" s="92">
        <v>21</v>
      </c>
      <c r="D732" s="92">
        <v>0</v>
      </c>
      <c r="G732" s="90">
        <v>38138</v>
      </c>
      <c r="H732" s="91">
        <v>0.041666666666666664</v>
      </c>
      <c r="I732" s="92">
        <v>76</v>
      </c>
      <c r="J732" s="92">
        <v>3</v>
      </c>
      <c r="M732" s="90">
        <v>38138</v>
      </c>
      <c r="N732" s="91">
        <v>0.041666666666666664</v>
      </c>
      <c r="O732" s="92">
        <v>40</v>
      </c>
      <c r="P732" s="92">
        <v>0</v>
      </c>
    </row>
    <row r="733" spans="1:16" ht="12.75">
      <c r="A733" s="83">
        <v>38138</v>
      </c>
      <c r="B733" s="80">
        <v>0.08333333333333333</v>
      </c>
      <c r="C733" s="78">
        <v>25</v>
      </c>
      <c r="D733" s="79">
        <v>0</v>
      </c>
      <c r="G733" s="83">
        <v>38138</v>
      </c>
      <c r="H733" s="80">
        <v>0.08333333333333333</v>
      </c>
      <c r="I733" s="78">
        <v>40</v>
      </c>
      <c r="J733" s="79">
        <v>5</v>
      </c>
      <c r="M733" s="83">
        <v>38138</v>
      </c>
      <c r="N733" s="80">
        <v>0.08333333333333333</v>
      </c>
      <c r="O733" s="78">
        <v>31</v>
      </c>
      <c r="P733" s="79">
        <v>0</v>
      </c>
    </row>
    <row r="734" spans="1:16" ht="12.75">
      <c r="A734" s="83">
        <v>38138</v>
      </c>
      <c r="B734" s="80">
        <v>0.125</v>
      </c>
      <c r="C734" s="78">
        <v>21</v>
      </c>
      <c r="D734" s="79">
        <v>0</v>
      </c>
      <c r="G734" s="83">
        <v>38138</v>
      </c>
      <c r="H734" s="80">
        <v>0.125</v>
      </c>
      <c r="I734" s="78">
        <v>42</v>
      </c>
      <c r="J734" s="79">
        <v>3</v>
      </c>
      <c r="M734" s="83">
        <v>38138</v>
      </c>
      <c r="N734" s="80">
        <v>0.125</v>
      </c>
      <c r="O734" s="78">
        <v>52</v>
      </c>
      <c r="P734" s="79">
        <v>0</v>
      </c>
    </row>
    <row r="735" spans="1:16" ht="12.75">
      <c r="A735" s="83">
        <v>38138</v>
      </c>
      <c r="B735" s="80">
        <v>0.16666666666666666</v>
      </c>
      <c r="C735" s="78">
        <v>19</v>
      </c>
      <c r="D735" s="79">
        <v>0</v>
      </c>
      <c r="G735" s="83">
        <v>38138</v>
      </c>
      <c r="H735" s="80">
        <v>0.16666666666666666</v>
      </c>
      <c r="I735" s="78">
        <v>25</v>
      </c>
      <c r="J735" s="79">
        <v>5</v>
      </c>
      <c r="M735" s="83">
        <v>38138</v>
      </c>
      <c r="N735" s="80">
        <v>0.16666666666666666</v>
      </c>
      <c r="O735" s="78">
        <v>48</v>
      </c>
      <c r="P735" s="79">
        <v>0</v>
      </c>
    </row>
    <row r="736" spans="1:16" ht="12.75">
      <c r="A736" s="83">
        <v>38138</v>
      </c>
      <c r="B736" s="80">
        <v>0.20833333333333334</v>
      </c>
      <c r="C736" s="78">
        <v>17</v>
      </c>
      <c r="D736" s="79">
        <v>0</v>
      </c>
      <c r="G736" s="83">
        <v>38138</v>
      </c>
      <c r="H736" s="80">
        <v>0.20833333333333334</v>
      </c>
      <c r="I736" s="78">
        <v>21</v>
      </c>
      <c r="J736" s="79">
        <v>11</v>
      </c>
      <c r="M736" s="83">
        <v>38138</v>
      </c>
      <c r="N736" s="80">
        <v>0.20833333333333334</v>
      </c>
      <c r="O736" s="78">
        <v>42</v>
      </c>
      <c r="P736" s="79">
        <v>0</v>
      </c>
    </row>
    <row r="737" spans="1:16" ht="12.75">
      <c r="A737" s="83">
        <v>38138</v>
      </c>
      <c r="B737" s="80">
        <v>0.25</v>
      </c>
      <c r="C737" s="78">
        <v>25</v>
      </c>
      <c r="D737" s="79">
        <v>3</v>
      </c>
      <c r="G737" s="83">
        <v>38138</v>
      </c>
      <c r="H737" s="80">
        <v>0.25</v>
      </c>
      <c r="I737" s="78">
        <v>32</v>
      </c>
      <c r="J737" s="79">
        <v>8</v>
      </c>
      <c r="M737" s="83">
        <v>38138</v>
      </c>
      <c r="N737" s="80">
        <v>0.25</v>
      </c>
      <c r="O737" s="78">
        <v>44</v>
      </c>
      <c r="P737" s="79">
        <v>3</v>
      </c>
    </row>
    <row r="738" spans="1:16" ht="12.75">
      <c r="A738" s="83">
        <v>38138</v>
      </c>
      <c r="B738" s="80">
        <v>0.2916666666666667</v>
      </c>
      <c r="C738" s="78">
        <v>25</v>
      </c>
      <c r="D738" s="79">
        <v>3</v>
      </c>
      <c r="G738" s="83">
        <v>38138</v>
      </c>
      <c r="H738" s="80">
        <v>0.2916666666666667</v>
      </c>
      <c r="I738" s="78">
        <v>48</v>
      </c>
      <c r="J738" s="79">
        <v>11</v>
      </c>
      <c r="M738" s="83">
        <v>38138</v>
      </c>
      <c r="N738" s="80">
        <v>0.2916666666666667</v>
      </c>
      <c r="O738" s="78">
        <v>42</v>
      </c>
      <c r="P738" s="79">
        <v>3</v>
      </c>
    </row>
    <row r="739" spans="1:16" ht="12.75">
      <c r="A739" s="83">
        <v>38138</v>
      </c>
      <c r="B739" s="80">
        <v>0.3333333333333333</v>
      </c>
      <c r="C739" s="78">
        <v>8</v>
      </c>
      <c r="D739" s="79">
        <v>3</v>
      </c>
      <c r="G739" s="83">
        <v>38138</v>
      </c>
      <c r="H739" s="80">
        <v>0.3333333333333333</v>
      </c>
      <c r="I739" s="78">
        <v>55</v>
      </c>
      <c r="J739" s="79">
        <v>11</v>
      </c>
      <c r="M739" s="83">
        <v>38138</v>
      </c>
      <c r="N739" s="80">
        <v>0.3333333333333333</v>
      </c>
      <c r="O739" s="78">
        <v>52</v>
      </c>
      <c r="P739" s="79">
        <v>5</v>
      </c>
    </row>
    <row r="740" spans="1:16" ht="12.75">
      <c r="A740" s="83">
        <v>38138</v>
      </c>
      <c r="B740" s="80">
        <v>0.375</v>
      </c>
      <c r="C740" s="78">
        <v>10</v>
      </c>
      <c r="D740" s="79">
        <v>3</v>
      </c>
      <c r="G740" s="83">
        <v>38138</v>
      </c>
      <c r="H740" s="80">
        <v>0.375</v>
      </c>
      <c r="I740" s="78">
        <v>40</v>
      </c>
      <c r="J740" s="79">
        <v>11</v>
      </c>
      <c r="M740" s="83">
        <v>38138</v>
      </c>
      <c r="N740" s="80">
        <v>0.375</v>
      </c>
      <c r="O740" s="78">
        <v>42</v>
      </c>
      <c r="P740" s="79">
        <v>5</v>
      </c>
    </row>
    <row r="741" spans="1:16" ht="12.75">
      <c r="A741" s="83">
        <v>38138</v>
      </c>
      <c r="B741" s="80">
        <v>0.4166666666666667</v>
      </c>
      <c r="C741" s="78">
        <v>4</v>
      </c>
      <c r="D741" s="79">
        <v>0</v>
      </c>
      <c r="G741" s="83">
        <v>38138</v>
      </c>
      <c r="H741" s="80">
        <v>0.4166666666666667</v>
      </c>
      <c r="I741" s="78">
        <v>29</v>
      </c>
      <c r="J741" s="79">
        <v>13</v>
      </c>
      <c r="M741" s="83">
        <v>38138</v>
      </c>
      <c r="N741" s="80">
        <v>0.4166666666666667</v>
      </c>
      <c r="O741" s="78">
        <v>46</v>
      </c>
      <c r="P741" s="79">
        <v>3</v>
      </c>
    </row>
    <row r="742" spans="1:16" ht="12.75">
      <c r="A742" s="83">
        <v>38138</v>
      </c>
      <c r="B742" s="80">
        <v>0.4583333333333333</v>
      </c>
      <c r="C742" s="78">
        <v>4</v>
      </c>
      <c r="D742" s="79">
        <v>0</v>
      </c>
      <c r="G742" s="83">
        <v>38138</v>
      </c>
      <c r="H742" s="80">
        <v>0.4583333333333333</v>
      </c>
      <c r="I742" s="78">
        <v>21</v>
      </c>
      <c r="J742" s="79">
        <v>8</v>
      </c>
      <c r="M742" s="83">
        <v>38138</v>
      </c>
      <c r="N742" s="80">
        <v>0.4583333333333333</v>
      </c>
      <c r="O742" s="78">
        <v>52</v>
      </c>
      <c r="P742" s="79">
        <v>3</v>
      </c>
    </row>
    <row r="743" spans="1:16" ht="12.75">
      <c r="A743" s="83">
        <v>38138</v>
      </c>
      <c r="B743" s="80">
        <v>0.5</v>
      </c>
      <c r="C743" s="78">
        <v>10</v>
      </c>
      <c r="D743" s="79">
        <v>3</v>
      </c>
      <c r="G743" s="83">
        <v>38138</v>
      </c>
      <c r="H743" s="80">
        <v>0.5</v>
      </c>
      <c r="I743" s="78">
        <v>19</v>
      </c>
      <c r="J743" s="79">
        <v>3</v>
      </c>
      <c r="M743" s="83">
        <v>38138</v>
      </c>
      <c r="N743" s="80">
        <v>0.5</v>
      </c>
      <c r="O743" s="78">
        <v>53</v>
      </c>
      <c r="P743" s="79">
        <v>3</v>
      </c>
    </row>
    <row r="744" spans="1:16" ht="12.75">
      <c r="A744" s="83">
        <v>38138</v>
      </c>
      <c r="B744" s="80">
        <v>0.5416666666666666</v>
      </c>
      <c r="C744" s="78">
        <v>6</v>
      </c>
      <c r="D744" s="79">
        <v>3</v>
      </c>
      <c r="G744" s="83">
        <v>38138</v>
      </c>
      <c r="H744" s="80">
        <v>0.5416666666666666</v>
      </c>
      <c r="I744" s="78">
        <v>23</v>
      </c>
      <c r="J744" s="79">
        <v>3</v>
      </c>
      <c r="M744" s="83">
        <v>38138</v>
      </c>
      <c r="N744" s="80">
        <v>0.5416666666666666</v>
      </c>
      <c r="O744" s="78">
        <v>53</v>
      </c>
      <c r="P744" s="79">
        <v>3</v>
      </c>
    </row>
    <row r="745" spans="1:16" ht="12.75">
      <c r="A745" s="83">
        <v>38138</v>
      </c>
      <c r="B745" s="80">
        <v>0.5833333333333334</v>
      </c>
      <c r="C745" s="78">
        <v>11</v>
      </c>
      <c r="D745" s="79">
        <v>3</v>
      </c>
      <c r="G745" s="83">
        <v>38138</v>
      </c>
      <c r="H745" s="80">
        <v>0.5833333333333334</v>
      </c>
      <c r="I745" s="78">
        <v>23</v>
      </c>
      <c r="J745" s="79">
        <v>0</v>
      </c>
      <c r="M745" s="83">
        <v>38138</v>
      </c>
      <c r="N745" s="80">
        <v>0.5833333333333334</v>
      </c>
      <c r="O745" s="78">
        <v>59</v>
      </c>
      <c r="P745" s="79">
        <v>3</v>
      </c>
    </row>
    <row r="746" spans="1:16" ht="12.75">
      <c r="A746" s="83">
        <v>38138</v>
      </c>
      <c r="B746" s="80">
        <v>0.625</v>
      </c>
      <c r="C746" s="78">
        <v>13</v>
      </c>
      <c r="D746" s="79">
        <v>3</v>
      </c>
      <c r="G746" s="83">
        <v>38138</v>
      </c>
      <c r="H746" s="80">
        <v>0.625</v>
      </c>
      <c r="I746" s="78">
        <v>25</v>
      </c>
      <c r="J746" s="79">
        <v>0</v>
      </c>
      <c r="M746" s="83">
        <v>38138</v>
      </c>
      <c r="N746" s="80">
        <v>0.625</v>
      </c>
      <c r="O746" s="78">
        <v>57</v>
      </c>
      <c r="P746" s="79">
        <v>3</v>
      </c>
    </row>
    <row r="747" spans="1:16" ht="12.75">
      <c r="A747" s="83">
        <v>38138</v>
      </c>
      <c r="B747" s="80">
        <v>0.6666666666666666</v>
      </c>
      <c r="C747" s="78">
        <v>15</v>
      </c>
      <c r="D747" s="79">
        <v>3</v>
      </c>
      <c r="G747" s="83">
        <v>38138</v>
      </c>
      <c r="H747" s="80">
        <v>0.6666666666666666</v>
      </c>
      <c r="I747" s="78">
        <v>23</v>
      </c>
      <c r="J747" s="79">
        <v>0</v>
      </c>
      <c r="M747" s="83">
        <v>38138</v>
      </c>
      <c r="N747" s="80">
        <v>0.6666666666666666</v>
      </c>
      <c r="O747" s="78">
        <v>65</v>
      </c>
      <c r="P747" s="79">
        <v>3</v>
      </c>
    </row>
    <row r="748" spans="1:16" ht="12.75">
      <c r="A748" s="83">
        <v>38138</v>
      </c>
      <c r="B748" s="80">
        <v>0.7083333333333334</v>
      </c>
      <c r="C748" s="78">
        <v>15</v>
      </c>
      <c r="D748" s="79">
        <v>0</v>
      </c>
      <c r="G748" s="83">
        <v>38138</v>
      </c>
      <c r="H748" s="80">
        <v>0.7083333333333334</v>
      </c>
      <c r="I748" s="78">
        <v>23</v>
      </c>
      <c r="J748" s="79">
        <v>0</v>
      </c>
      <c r="M748" s="83">
        <v>38138</v>
      </c>
      <c r="N748" s="80">
        <v>0.7083333333333334</v>
      </c>
      <c r="O748" s="78">
        <v>69</v>
      </c>
      <c r="P748" s="79">
        <v>3</v>
      </c>
    </row>
    <row r="749" spans="1:16" ht="12.75">
      <c r="A749" s="83">
        <v>38138</v>
      </c>
      <c r="B749" s="80">
        <v>0.75</v>
      </c>
      <c r="C749" s="78">
        <v>27</v>
      </c>
      <c r="D749" s="79">
        <v>0</v>
      </c>
      <c r="G749" s="83">
        <v>38138</v>
      </c>
      <c r="H749" s="80">
        <v>0.75</v>
      </c>
      <c r="I749" s="78">
        <v>23</v>
      </c>
      <c r="J749" s="79">
        <v>0</v>
      </c>
      <c r="M749" s="83">
        <v>38138</v>
      </c>
      <c r="N749" s="80">
        <v>0.75</v>
      </c>
      <c r="O749" s="78">
        <v>63</v>
      </c>
      <c r="P749" s="79">
        <v>3</v>
      </c>
    </row>
    <row r="750" spans="1:16" ht="12.75">
      <c r="A750" s="83">
        <v>38138</v>
      </c>
      <c r="B750" s="80">
        <v>0.7916666666666666</v>
      </c>
      <c r="C750" s="78">
        <v>21</v>
      </c>
      <c r="D750" s="79">
        <v>0</v>
      </c>
      <c r="G750" s="83">
        <v>38138</v>
      </c>
      <c r="H750" s="80">
        <v>0.7916666666666666</v>
      </c>
      <c r="I750" s="78">
        <v>29</v>
      </c>
      <c r="J750" s="79">
        <v>5</v>
      </c>
      <c r="M750" s="83">
        <v>38138</v>
      </c>
      <c r="N750" s="80">
        <v>0.7916666666666666</v>
      </c>
      <c r="O750" s="78">
        <v>65</v>
      </c>
      <c r="P750" s="79">
        <v>3</v>
      </c>
    </row>
    <row r="751" spans="1:16" ht="12.75">
      <c r="A751" s="83">
        <v>38138</v>
      </c>
      <c r="B751" s="80">
        <v>0.8333333333333334</v>
      </c>
      <c r="C751" s="78">
        <v>13</v>
      </c>
      <c r="D751" s="79">
        <v>0</v>
      </c>
      <c r="G751" s="83">
        <v>38138</v>
      </c>
      <c r="H751" s="80">
        <v>0.8333333333333334</v>
      </c>
      <c r="I751" s="78">
        <v>29</v>
      </c>
      <c r="J751" s="79">
        <v>5</v>
      </c>
      <c r="M751" s="83">
        <v>38138</v>
      </c>
      <c r="N751" s="80">
        <v>0.8333333333333334</v>
      </c>
      <c r="O751" s="78">
        <v>74</v>
      </c>
      <c r="P751" s="79">
        <v>3</v>
      </c>
    </row>
    <row r="752" spans="1:16" ht="12.75">
      <c r="A752" s="83">
        <v>38138</v>
      </c>
      <c r="B752" s="80">
        <v>0.875</v>
      </c>
      <c r="C752" s="78">
        <v>17</v>
      </c>
      <c r="D752" s="79">
        <v>0</v>
      </c>
      <c r="G752" s="83">
        <v>38138</v>
      </c>
      <c r="H752" s="80">
        <v>0.875</v>
      </c>
      <c r="I752" s="78">
        <v>38</v>
      </c>
      <c r="J752" s="79">
        <v>3</v>
      </c>
      <c r="M752" s="83">
        <v>38138</v>
      </c>
      <c r="N752" s="80">
        <v>0.875</v>
      </c>
      <c r="O752" s="78">
        <v>73</v>
      </c>
      <c r="P752" s="79">
        <v>3</v>
      </c>
    </row>
    <row r="753" spans="1:16" ht="12.75">
      <c r="A753" s="83">
        <v>38138</v>
      </c>
      <c r="B753" s="80">
        <v>0.9166666666666666</v>
      </c>
      <c r="C753" s="78">
        <v>11</v>
      </c>
      <c r="D753" s="79">
        <v>0</v>
      </c>
      <c r="G753" s="83">
        <v>38138</v>
      </c>
      <c r="H753" s="80">
        <v>0.9166666666666666</v>
      </c>
      <c r="I753" s="78">
        <v>27</v>
      </c>
      <c r="J753" s="79">
        <v>0</v>
      </c>
      <c r="M753" s="83">
        <v>38138</v>
      </c>
      <c r="N753" s="80">
        <v>0.9166666666666666</v>
      </c>
      <c r="O753" s="78">
        <v>78</v>
      </c>
      <c r="P753" s="79">
        <v>3</v>
      </c>
    </row>
    <row r="754" spans="1:16" ht="12.75">
      <c r="A754" s="83">
        <v>38138</v>
      </c>
      <c r="B754" s="80">
        <v>0.9583333333333334</v>
      </c>
      <c r="C754" s="78">
        <v>10</v>
      </c>
      <c r="D754" s="79">
        <v>0</v>
      </c>
      <c r="G754" s="83">
        <v>38138</v>
      </c>
      <c r="H754" s="80">
        <v>0.9583333333333334</v>
      </c>
      <c r="I754" s="78">
        <v>25</v>
      </c>
      <c r="J754" s="79">
        <v>0</v>
      </c>
      <c r="M754" s="83">
        <v>38138</v>
      </c>
      <c r="N754" s="80">
        <v>0.9583333333333334</v>
      </c>
      <c r="O754" s="78">
        <v>65</v>
      </c>
      <c r="P754" s="79">
        <v>0</v>
      </c>
    </row>
    <row r="755" spans="1:16" ht="12.75">
      <c r="A755" s="83">
        <v>38138</v>
      </c>
      <c r="B755" s="81">
        <v>1</v>
      </c>
      <c r="C755" s="78">
        <v>6</v>
      </c>
      <c r="D755" s="79">
        <v>0</v>
      </c>
      <c r="G755" s="83">
        <v>38138</v>
      </c>
      <c r="H755" s="81">
        <v>1</v>
      </c>
      <c r="I755" s="78">
        <v>31</v>
      </c>
      <c r="J755" s="79">
        <v>3</v>
      </c>
      <c r="M755" s="83">
        <v>38138</v>
      </c>
      <c r="N755" s="81">
        <v>1</v>
      </c>
      <c r="O755" s="78">
        <v>48</v>
      </c>
      <c r="P755" s="79">
        <v>0</v>
      </c>
    </row>
    <row r="756" spans="1:16" s="92" customFormat="1" ht="12.75">
      <c r="A756" s="90">
        <v>38139</v>
      </c>
      <c r="B756" s="91">
        <v>0.041666666666666664</v>
      </c>
      <c r="C756" s="92">
        <v>4</v>
      </c>
      <c r="D756" s="92">
        <v>0</v>
      </c>
      <c r="G756" s="90">
        <v>38139</v>
      </c>
      <c r="H756" s="91">
        <v>0.041666666666666664</v>
      </c>
      <c r="I756" s="92">
        <v>21</v>
      </c>
      <c r="J756" s="92">
        <v>3</v>
      </c>
      <c r="M756" s="90">
        <v>38139</v>
      </c>
      <c r="N756" s="91">
        <v>0.041666666666666664</v>
      </c>
      <c r="O756" s="92">
        <v>63</v>
      </c>
      <c r="P756" s="92">
        <v>0</v>
      </c>
    </row>
    <row r="757" spans="1:16" ht="12.75">
      <c r="A757" s="83">
        <v>38139</v>
      </c>
      <c r="B757" s="80">
        <v>0.08333333333333333</v>
      </c>
      <c r="C757" s="78">
        <v>6</v>
      </c>
      <c r="D757" s="79">
        <v>0</v>
      </c>
      <c r="G757" s="83">
        <v>38139</v>
      </c>
      <c r="H757" s="80">
        <v>0.08333333333333333</v>
      </c>
      <c r="I757" s="78">
        <v>17</v>
      </c>
      <c r="J757" s="79">
        <v>3</v>
      </c>
      <c r="M757" s="83">
        <v>38139</v>
      </c>
      <c r="N757" s="80">
        <v>0.08333333333333333</v>
      </c>
      <c r="O757" s="78">
        <v>42</v>
      </c>
      <c r="P757" s="79">
        <v>0</v>
      </c>
    </row>
    <row r="758" spans="1:16" ht="12.75">
      <c r="A758" s="83">
        <v>38139</v>
      </c>
      <c r="B758" s="80">
        <v>0.125</v>
      </c>
      <c r="C758" s="78">
        <v>8</v>
      </c>
      <c r="D758" s="79">
        <v>0</v>
      </c>
      <c r="G758" s="83">
        <v>38139</v>
      </c>
      <c r="H758" s="80">
        <v>0.125</v>
      </c>
      <c r="I758" s="78">
        <v>17</v>
      </c>
      <c r="J758" s="79">
        <v>3</v>
      </c>
      <c r="M758" s="83">
        <v>38139</v>
      </c>
      <c r="N758" s="80">
        <v>0.125</v>
      </c>
      <c r="O758" s="78">
        <v>32</v>
      </c>
      <c r="P758" s="79">
        <v>0</v>
      </c>
    </row>
    <row r="759" spans="1:16" ht="12.75">
      <c r="A759" s="83">
        <v>38139</v>
      </c>
      <c r="B759" s="80">
        <v>0.16666666666666666</v>
      </c>
      <c r="C759" s="78">
        <v>10</v>
      </c>
      <c r="D759" s="79">
        <v>3</v>
      </c>
      <c r="G759" s="83">
        <v>38139</v>
      </c>
      <c r="H759" s="80">
        <v>0.16666666666666666</v>
      </c>
      <c r="I759" s="78">
        <v>19</v>
      </c>
      <c r="J759" s="79">
        <v>5</v>
      </c>
      <c r="M759" s="83">
        <v>38139</v>
      </c>
      <c r="N759" s="80">
        <v>0.16666666666666666</v>
      </c>
      <c r="O759" s="78">
        <v>36</v>
      </c>
      <c r="P759" s="79">
        <v>0</v>
      </c>
    </row>
    <row r="760" spans="1:16" ht="12.75">
      <c r="A760" s="83">
        <v>38139</v>
      </c>
      <c r="B760" s="80">
        <v>0.20833333333333334</v>
      </c>
      <c r="C760" s="78">
        <v>21</v>
      </c>
      <c r="D760" s="79">
        <v>3</v>
      </c>
      <c r="G760" s="83">
        <v>38139</v>
      </c>
      <c r="H760" s="80">
        <v>0.20833333333333334</v>
      </c>
      <c r="I760" s="78">
        <v>13</v>
      </c>
      <c r="J760" s="79">
        <v>3</v>
      </c>
      <c r="M760" s="83">
        <v>38139</v>
      </c>
      <c r="N760" s="80">
        <v>0.20833333333333334</v>
      </c>
      <c r="O760" s="78">
        <v>32</v>
      </c>
      <c r="P760" s="79">
        <v>0</v>
      </c>
    </row>
    <row r="761" spans="1:16" ht="12.75">
      <c r="A761" s="83">
        <v>38139</v>
      </c>
      <c r="B761" s="80">
        <v>0.25</v>
      </c>
      <c r="C761" s="78">
        <v>17</v>
      </c>
      <c r="D761" s="79">
        <v>0</v>
      </c>
      <c r="G761" s="83">
        <v>38139</v>
      </c>
      <c r="H761" s="80">
        <v>0.25</v>
      </c>
      <c r="I761" s="78">
        <v>19</v>
      </c>
      <c r="J761" s="79">
        <v>0</v>
      </c>
      <c r="M761" s="83">
        <v>38139</v>
      </c>
      <c r="N761" s="80">
        <v>0.25</v>
      </c>
      <c r="O761" s="78">
        <v>46</v>
      </c>
      <c r="P761" s="79">
        <v>0</v>
      </c>
    </row>
    <row r="762" spans="1:16" ht="12.75">
      <c r="A762" s="83">
        <v>38139</v>
      </c>
      <c r="B762" s="80">
        <v>0.2916666666666667</v>
      </c>
      <c r="C762" s="78">
        <v>25</v>
      </c>
      <c r="D762" s="79">
        <v>3</v>
      </c>
      <c r="G762" s="83">
        <v>38139</v>
      </c>
      <c r="H762" s="80">
        <v>0.2916666666666667</v>
      </c>
      <c r="I762" s="78">
        <v>40</v>
      </c>
      <c r="J762" s="79">
        <v>3</v>
      </c>
      <c r="M762" s="83">
        <v>38139</v>
      </c>
      <c r="N762" s="80">
        <v>0.2916666666666667</v>
      </c>
      <c r="O762" s="78">
        <v>67</v>
      </c>
      <c r="P762" s="79">
        <v>0</v>
      </c>
    </row>
    <row r="763" spans="1:16" ht="12.75">
      <c r="A763" s="83">
        <v>38139</v>
      </c>
      <c r="B763" s="80">
        <v>0.3333333333333333</v>
      </c>
      <c r="C763" s="78">
        <v>27</v>
      </c>
      <c r="D763" s="79">
        <v>3</v>
      </c>
      <c r="G763" s="83">
        <v>38139</v>
      </c>
      <c r="H763" s="80">
        <v>0.3333333333333333</v>
      </c>
      <c r="I763" s="78">
        <v>67</v>
      </c>
      <c r="J763" s="79">
        <v>5</v>
      </c>
      <c r="M763" s="83">
        <v>38139</v>
      </c>
      <c r="N763" s="80">
        <v>0.3333333333333333</v>
      </c>
      <c r="O763" s="78">
        <v>65</v>
      </c>
      <c r="P763" s="79">
        <v>0</v>
      </c>
    </row>
    <row r="764" spans="1:16" ht="12.75">
      <c r="A764" s="83">
        <v>38139</v>
      </c>
      <c r="B764" s="80">
        <v>0.375</v>
      </c>
      <c r="C764" s="78">
        <v>23</v>
      </c>
      <c r="D764" s="79">
        <v>3</v>
      </c>
      <c r="G764" s="83">
        <v>38139</v>
      </c>
      <c r="H764" s="80">
        <v>0.375</v>
      </c>
      <c r="I764" s="78">
        <v>63</v>
      </c>
      <c r="J764" s="79">
        <v>5</v>
      </c>
      <c r="M764" s="83">
        <v>38139</v>
      </c>
      <c r="N764" s="80">
        <v>0.375</v>
      </c>
      <c r="O764" s="78">
        <v>59</v>
      </c>
      <c r="P764" s="79">
        <v>0</v>
      </c>
    </row>
    <row r="765" spans="1:16" ht="12.75">
      <c r="A765" s="83">
        <v>38139</v>
      </c>
      <c r="B765" s="80">
        <v>0.4166666666666667</v>
      </c>
      <c r="C765" s="78">
        <v>32</v>
      </c>
      <c r="D765" s="79">
        <v>3</v>
      </c>
      <c r="G765" s="83">
        <v>38139</v>
      </c>
      <c r="H765" s="80">
        <v>0.4166666666666667</v>
      </c>
      <c r="I765" s="78">
        <v>67</v>
      </c>
      <c r="J765" s="79">
        <v>8</v>
      </c>
      <c r="M765" s="83">
        <v>38139</v>
      </c>
      <c r="N765" s="80">
        <v>0.4166666666666667</v>
      </c>
      <c r="O765" s="78">
        <v>44</v>
      </c>
      <c r="P765" s="79">
        <v>0</v>
      </c>
    </row>
    <row r="766" spans="1:16" ht="12.75">
      <c r="A766" s="83">
        <v>38139</v>
      </c>
      <c r="B766" s="80">
        <v>0.4583333333333333</v>
      </c>
      <c r="C766" s="78">
        <v>25</v>
      </c>
      <c r="D766" s="79">
        <v>3</v>
      </c>
      <c r="G766" s="83">
        <v>38139</v>
      </c>
      <c r="H766" s="80">
        <v>0.4583333333333333</v>
      </c>
      <c r="I766" s="78">
        <v>78</v>
      </c>
      <c r="J766" s="79">
        <v>8</v>
      </c>
      <c r="M766" s="83">
        <v>38139</v>
      </c>
      <c r="N766" s="80">
        <v>0.4583333333333333</v>
      </c>
      <c r="O766" s="78">
        <v>36</v>
      </c>
      <c r="P766" s="79">
        <v>0</v>
      </c>
    </row>
    <row r="767" spans="1:16" ht="12.75">
      <c r="A767" s="83">
        <v>38139</v>
      </c>
      <c r="B767" s="80">
        <v>0.5</v>
      </c>
      <c r="C767" s="78">
        <v>27</v>
      </c>
      <c r="D767" s="79">
        <v>3</v>
      </c>
      <c r="G767" s="83">
        <v>38139</v>
      </c>
      <c r="H767" s="80">
        <v>0.5</v>
      </c>
      <c r="I767" s="78">
        <v>67</v>
      </c>
      <c r="J767" s="79">
        <v>5</v>
      </c>
      <c r="M767" s="83">
        <v>38139</v>
      </c>
      <c r="N767" s="80">
        <v>0.5</v>
      </c>
      <c r="O767" s="78">
        <v>40</v>
      </c>
      <c r="P767" s="79">
        <v>0</v>
      </c>
    </row>
    <row r="768" spans="1:16" ht="12.75">
      <c r="A768" s="83">
        <v>38139</v>
      </c>
      <c r="B768" s="80">
        <v>0.5416666666666666</v>
      </c>
      <c r="C768" s="78">
        <v>23</v>
      </c>
      <c r="D768" s="79">
        <v>3</v>
      </c>
      <c r="G768" s="83">
        <v>38139</v>
      </c>
      <c r="H768" s="80">
        <v>0.5416666666666666</v>
      </c>
      <c r="I768" s="78">
        <v>82</v>
      </c>
      <c r="J768" s="79">
        <v>3</v>
      </c>
      <c r="M768" s="83">
        <v>38139</v>
      </c>
      <c r="N768" s="80">
        <v>0.5416666666666666</v>
      </c>
      <c r="O768" s="78">
        <v>36</v>
      </c>
      <c r="P768" s="79">
        <v>0</v>
      </c>
    </row>
    <row r="769" spans="1:16" ht="12.75">
      <c r="A769" s="83">
        <v>38139</v>
      </c>
      <c r="B769" s="80">
        <v>0.5833333333333334</v>
      </c>
      <c r="C769" s="78">
        <v>21</v>
      </c>
      <c r="D769" s="79">
        <v>3</v>
      </c>
      <c r="G769" s="83">
        <v>38139</v>
      </c>
      <c r="H769" s="80">
        <v>0.5833333333333334</v>
      </c>
      <c r="I769" s="78">
        <v>74</v>
      </c>
      <c r="J769" s="79">
        <v>3</v>
      </c>
      <c r="M769" s="83">
        <v>38139</v>
      </c>
      <c r="N769" s="80">
        <v>0.5833333333333334</v>
      </c>
      <c r="O769" s="78">
        <v>34</v>
      </c>
      <c r="P769" s="79">
        <v>0</v>
      </c>
    </row>
    <row r="770" spans="1:16" ht="12.75">
      <c r="A770" s="83">
        <v>38139</v>
      </c>
      <c r="B770" s="80">
        <v>0.625</v>
      </c>
      <c r="C770" s="78">
        <v>11</v>
      </c>
      <c r="D770" s="79">
        <v>0</v>
      </c>
      <c r="G770" s="83">
        <v>38139</v>
      </c>
      <c r="H770" s="80">
        <v>0.625</v>
      </c>
      <c r="I770" s="78">
        <v>53</v>
      </c>
      <c r="J770" s="79">
        <v>3</v>
      </c>
      <c r="M770" s="83">
        <v>38139</v>
      </c>
      <c r="N770" s="80">
        <v>0.625</v>
      </c>
      <c r="O770" s="78">
        <v>34</v>
      </c>
      <c r="P770" s="79">
        <v>0</v>
      </c>
    </row>
    <row r="771" spans="1:16" ht="12.75">
      <c r="A771" s="83">
        <v>38139</v>
      </c>
      <c r="B771" s="80">
        <v>0.6666666666666666</v>
      </c>
      <c r="C771" s="78">
        <v>15</v>
      </c>
      <c r="D771" s="79">
        <v>0</v>
      </c>
      <c r="G771" s="83">
        <v>38139</v>
      </c>
      <c r="H771" s="80">
        <v>0.6666666666666666</v>
      </c>
      <c r="I771" s="78">
        <v>48</v>
      </c>
      <c r="J771" s="79">
        <v>3</v>
      </c>
      <c r="M771" s="83">
        <v>38139</v>
      </c>
      <c r="N771" s="80">
        <v>0.6666666666666666</v>
      </c>
      <c r="O771" s="78">
        <v>32</v>
      </c>
      <c r="P771" s="79">
        <v>0</v>
      </c>
    </row>
    <row r="772" spans="1:16" ht="12.75">
      <c r="A772" s="83">
        <v>38139</v>
      </c>
      <c r="B772" s="80">
        <v>0.7083333333333334</v>
      </c>
      <c r="C772" s="78">
        <v>11</v>
      </c>
      <c r="D772" s="79">
        <v>0</v>
      </c>
      <c r="G772" s="83">
        <v>38139</v>
      </c>
      <c r="H772" s="80">
        <v>0.7083333333333334</v>
      </c>
      <c r="I772" s="78">
        <v>44</v>
      </c>
      <c r="J772" s="79">
        <v>0</v>
      </c>
      <c r="M772" s="83">
        <v>38139</v>
      </c>
      <c r="N772" s="80">
        <v>0.7083333333333334</v>
      </c>
      <c r="O772" s="78">
        <v>32</v>
      </c>
      <c r="P772" s="79">
        <v>0</v>
      </c>
    </row>
    <row r="773" spans="1:16" ht="12.75">
      <c r="A773" s="83">
        <v>38139</v>
      </c>
      <c r="B773" s="80">
        <v>0.75</v>
      </c>
      <c r="C773" s="78">
        <v>13</v>
      </c>
      <c r="D773" s="79">
        <v>0</v>
      </c>
      <c r="G773" s="83">
        <v>38139</v>
      </c>
      <c r="H773" s="80">
        <v>0.75</v>
      </c>
      <c r="I773" s="78">
        <v>50</v>
      </c>
      <c r="J773" s="79">
        <v>3</v>
      </c>
      <c r="M773" s="83">
        <v>38139</v>
      </c>
      <c r="N773" s="80">
        <v>0.75</v>
      </c>
      <c r="O773" s="78">
        <v>29</v>
      </c>
      <c r="P773" s="79">
        <v>0</v>
      </c>
    </row>
    <row r="774" spans="1:16" ht="12.75">
      <c r="A774" s="83">
        <v>38139</v>
      </c>
      <c r="B774" s="80">
        <v>0.7916666666666666</v>
      </c>
      <c r="C774" s="78">
        <v>8</v>
      </c>
      <c r="D774" s="79">
        <v>0</v>
      </c>
      <c r="G774" s="83">
        <v>38139</v>
      </c>
      <c r="H774" s="80">
        <v>0.7916666666666666</v>
      </c>
      <c r="I774" s="78">
        <v>55</v>
      </c>
      <c r="J774" s="79">
        <v>3</v>
      </c>
      <c r="M774" s="83">
        <v>38139</v>
      </c>
      <c r="N774" s="80">
        <v>0.7916666666666666</v>
      </c>
      <c r="O774" s="78">
        <v>27</v>
      </c>
      <c r="P774" s="79">
        <v>0</v>
      </c>
    </row>
    <row r="775" spans="1:16" ht="12.75">
      <c r="A775" s="83">
        <v>38139</v>
      </c>
      <c r="B775" s="80">
        <v>0.8333333333333334</v>
      </c>
      <c r="C775" s="78">
        <v>10</v>
      </c>
      <c r="D775" s="79">
        <v>0</v>
      </c>
      <c r="G775" s="83">
        <v>38139</v>
      </c>
      <c r="H775" s="80">
        <v>0.8333333333333334</v>
      </c>
      <c r="I775" s="78">
        <v>61</v>
      </c>
      <c r="J775" s="79">
        <v>0</v>
      </c>
      <c r="M775" s="83">
        <v>38139</v>
      </c>
      <c r="N775" s="80">
        <v>0.8333333333333334</v>
      </c>
      <c r="O775" s="78">
        <v>25</v>
      </c>
      <c r="P775" s="79">
        <v>0</v>
      </c>
    </row>
    <row r="776" spans="1:16" ht="12.75">
      <c r="A776" s="83">
        <v>38139</v>
      </c>
      <c r="B776" s="80">
        <v>0.875</v>
      </c>
      <c r="C776" s="78">
        <v>25</v>
      </c>
      <c r="D776" s="79">
        <v>0</v>
      </c>
      <c r="G776" s="83">
        <v>38139</v>
      </c>
      <c r="H776" s="80">
        <v>0.875</v>
      </c>
      <c r="I776" s="78">
        <v>74</v>
      </c>
      <c r="J776" s="79">
        <v>5</v>
      </c>
      <c r="M776" s="83">
        <v>38139</v>
      </c>
      <c r="N776" s="80">
        <v>0.875</v>
      </c>
      <c r="O776" s="78">
        <v>23</v>
      </c>
      <c r="P776" s="79">
        <v>0</v>
      </c>
    </row>
    <row r="777" spans="1:16" ht="12.75">
      <c r="A777" s="83">
        <v>38139</v>
      </c>
      <c r="B777" s="80">
        <v>0.9166666666666666</v>
      </c>
      <c r="C777" s="78">
        <v>29</v>
      </c>
      <c r="D777" s="79">
        <v>0</v>
      </c>
      <c r="G777" s="83">
        <v>38139</v>
      </c>
      <c r="H777" s="80">
        <v>0.9166666666666666</v>
      </c>
      <c r="I777" s="78">
        <v>90</v>
      </c>
      <c r="J777" s="79">
        <v>11</v>
      </c>
      <c r="M777" s="83">
        <v>38139</v>
      </c>
      <c r="N777" s="80">
        <v>0.9166666666666666</v>
      </c>
      <c r="O777" s="78">
        <v>25</v>
      </c>
      <c r="P777" s="79">
        <v>0</v>
      </c>
    </row>
    <row r="778" spans="1:16" ht="12.75">
      <c r="A778" s="83">
        <v>38139</v>
      </c>
      <c r="B778" s="80">
        <v>0.9583333333333334</v>
      </c>
      <c r="C778" s="78">
        <v>23</v>
      </c>
      <c r="D778" s="79">
        <v>0</v>
      </c>
      <c r="G778" s="83">
        <v>38139</v>
      </c>
      <c r="H778" s="80">
        <v>0.9583333333333334</v>
      </c>
      <c r="I778" s="78">
        <v>65</v>
      </c>
      <c r="J778" s="79">
        <v>3</v>
      </c>
      <c r="M778" s="83">
        <v>38139</v>
      </c>
      <c r="N778" s="80">
        <v>0.9583333333333334</v>
      </c>
      <c r="O778" s="78">
        <v>19</v>
      </c>
      <c r="P778" s="79">
        <v>0</v>
      </c>
    </row>
    <row r="779" spans="1:16" ht="12.75">
      <c r="A779" s="83">
        <v>38139</v>
      </c>
      <c r="B779" s="81">
        <v>1</v>
      </c>
      <c r="C779" s="78">
        <v>11</v>
      </c>
      <c r="D779" s="79">
        <v>0</v>
      </c>
      <c r="G779" s="83">
        <v>38139</v>
      </c>
      <c r="H779" s="81">
        <v>1</v>
      </c>
      <c r="I779" s="78">
        <v>38</v>
      </c>
      <c r="J779" s="79">
        <v>3</v>
      </c>
      <c r="M779" s="83">
        <v>38139</v>
      </c>
      <c r="N779" s="81">
        <v>1</v>
      </c>
      <c r="O779" s="78">
        <v>21</v>
      </c>
      <c r="P779" s="79">
        <v>0</v>
      </c>
    </row>
    <row r="780" spans="1:16" s="92" customFormat="1" ht="12.75">
      <c r="A780" s="90">
        <v>38140</v>
      </c>
      <c r="B780" s="91">
        <v>0.041666666666666664</v>
      </c>
      <c r="C780" s="92">
        <v>13</v>
      </c>
      <c r="D780" s="92">
        <v>0</v>
      </c>
      <c r="G780" s="90">
        <v>38140</v>
      </c>
      <c r="H780" s="91">
        <v>0.041666666666666664</v>
      </c>
      <c r="I780" s="92">
        <v>17</v>
      </c>
      <c r="J780" s="92">
        <v>0</v>
      </c>
      <c r="M780" s="90">
        <v>38140</v>
      </c>
      <c r="N780" s="91">
        <v>0.041666666666666664</v>
      </c>
      <c r="O780" s="92">
        <v>23</v>
      </c>
      <c r="P780" s="92">
        <v>5</v>
      </c>
    </row>
    <row r="781" spans="1:16" ht="12.75">
      <c r="A781" s="83">
        <v>38140</v>
      </c>
      <c r="B781" s="80">
        <v>0.08333333333333333</v>
      </c>
      <c r="C781" s="78">
        <v>13</v>
      </c>
      <c r="D781" s="79">
        <v>0</v>
      </c>
      <c r="G781" s="83">
        <v>38140</v>
      </c>
      <c r="H781" s="80">
        <v>0.08333333333333333</v>
      </c>
      <c r="I781" s="78">
        <v>25</v>
      </c>
      <c r="J781" s="79">
        <v>0</v>
      </c>
      <c r="M781" s="83">
        <v>38140</v>
      </c>
      <c r="N781" s="80">
        <v>0.08333333333333333</v>
      </c>
      <c r="O781" s="78">
        <v>29</v>
      </c>
      <c r="P781" s="79">
        <v>0</v>
      </c>
    </row>
    <row r="782" spans="1:16" ht="12.75">
      <c r="A782" s="83">
        <v>38140</v>
      </c>
      <c r="B782" s="80">
        <v>0.125</v>
      </c>
      <c r="C782" s="78">
        <v>10</v>
      </c>
      <c r="D782" s="79">
        <v>0</v>
      </c>
      <c r="G782" s="83">
        <v>38140</v>
      </c>
      <c r="H782" s="80">
        <v>0.125</v>
      </c>
      <c r="I782" s="78">
        <v>21</v>
      </c>
      <c r="J782" s="79">
        <v>0</v>
      </c>
      <c r="M782" s="83">
        <v>38140</v>
      </c>
      <c r="N782" s="80">
        <v>0.125</v>
      </c>
      <c r="O782" s="78">
        <v>19</v>
      </c>
      <c r="P782" s="79">
        <v>0</v>
      </c>
    </row>
    <row r="783" spans="1:16" ht="12.75">
      <c r="A783" s="83">
        <v>38140</v>
      </c>
      <c r="B783" s="80">
        <v>0.16666666666666666</v>
      </c>
      <c r="C783" s="78">
        <v>10</v>
      </c>
      <c r="D783" s="79">
        <v>0</v>
      </c>
      <c r="G783" s="83">
        <v>38140</v>
      </c>
      <c r="H783" s="80">
        <v>0.16666666666666666</v>
      </c>
      <c r="I783" s="78">
        <v>19</v>
      </c>
      <c r="J783" s="79">
        <v>0</v>
      </c>
      <c r="M783" s="83">
        <v>38140</v>
      </c>
      <c r="N783" s="80">
        <v>0.16666666666666666</v>
      </c>
      <c r="O783" s="78">
        <v>15</v>
      </c>
      <c r="P783" s="79">
        <v>0</v>
      </c>
    </row>
    <row r="784" spans="1:16" ht="12.75">
      <c r="A784" s="83">
        <v>38140</v>
      </c>
      <c r="B784" s="80">
        <v>0.20833333333333334</v>
      </c>
      <c r="C784" s="78">
        <v>21</v>
      </c>
      <c r="D784" s="79">
        <v>0</v>
      </c>
      <c r="G784" s="83">
        <v>38140</v>
      </c>
      <c r="H784" s="80">
        <v>0.20833333333333334</v>
      </c>
      <c r="I784" s="78">
        <v>15</v>
      </c>
      <c r="J784" s="79">
        <v>0</v>
      </c>
      <c r="M784" s="83">
        <v>38140</v>
      </c>
      <c r="N784" s="80">
        <v>0.20833333333333334</v>
      </c>
      <c r="O784" s="78">
        <v>17</v>
      </c>
      <c r="P784" s="79">
        <v>0</v>
      </c>
    </row>
    <row r="785" spans="1:16" ht="12.75">
      <c r="A785" s="83">
        <v>38140</v>
      </c>
      <c r="B785" s="80">
        <v>0.25</v>
      </c>
      <c r="C785" s="78">
        <v>27</v>
      </c>
      <c r="D785" s="79">
        <v>0</v>
      </c>
      <c r="G785" s="83">
        <v>38140</v>
      </c>
      <c r="H785" s="80">
        <v>0.25</v>
      </c>
      <c r="I785" s="78">
        <v>23</v>
      </c>
      <c r="J785" s="79">
        <v>0</v>
      </c>
      <c r="M785" s="83">
        <v>38140</v>
      </c>
      <c r="N785" s="80">
        <v>0.25</v>
      </c>
      <c r="O785" s="78">
        <v>29</v>
      </c>
      <c r="P785" s="79">
        <v>0</v>
      </c>
    </row>
    <row r="786" spans="1:16" ht="12.75">
      <c r="A786" s="83">
        <v>38140</v>
      </c>
      <c r="B786" s="80">
        <v>0.2916666666666667</v>
      </c>
      <c r="C786" s="78">
        <v>25</v>
      </c>
      <c r="D786" s="79">
        <v>0</v>
      </c>
      <c r="G786" s="83">
        <v>38140</v>
      </c>
      <c r="H786" s="80">
        <v>0.2916666666666667</v>
      </c>
      <c r="I786" s="78">
        <v>44</v>
      </c>
      <c r="J786" s="79">
        <v>3</v>
      </c>
      <c r="M786" s="83">
        <v>38140</v>
      </c>
      <c r="N786" s="80">
        <v>0.2916666666666667</v>
      </c>
      <c r="O786" s="78">
        <v>19</v>
      </c>
      <c r="P786" s="79">
        <v>0</v>
      </c>
    </row>
    <row r="787" spans="1:14" ht="12.75">
      <c r="A787" s="83">
        <v>38140</v>
      </c>
      <c r="B787" s="80">
        <v>0.3333333333333333</v>
      </c>
      <c r="C787" s="78">
        <v>27</v>
      </c>
      <c r="D787" s="79">
        <v>0</v>
      </c>
      <c r="G787" s="83">
        <v>38140</v>
      </c>
      <c r="H787" s="80">
        <v>0.3333333333333333</v>
      </c>
      <c r="I787" s="78">
        <v>65</v>
      </c>
      <c r="J787" s="79">
        <v>21</v>
      </c>
      <c r="M787" s="83">
        <v>38140</v>
      </c>
      <c r="N787" s="80">
        <v>0.3333333333333333</v>
      </c>
    </row>
    <row r="788" spans="1:14" ht="12.75">
      <c r="A788" s="83">
        <v>38140</v>
      </c>
      <c r="B788" s="80">
        <v>0.375</v>
      </c>
      <c r="C788" s="78">
        <v>27</v>
      </c>
      <c r="D788" s="79">
        <v>0</v>
      </c>
      <c r="G788" s="83">
        <v>38140</v>
      </c>
      <c r="H788" s="80">
        <v>0.375</v>
      </c>
      <c r="I788" s="78">
        <v>53</v>
      </c>
      <c r="J788" s="79">
        <v>16</v>
      </c>
      <c r="M788" s="83">
        <v>38140</v>
      </c>
      <c r="N788" s="80">
        <v>0.375</v>
      </c>
    </row>
    <row r="789" spans="1:16" ht="12.75">
      <c r="A789" s="83">
        <v>38140</v>
      </c>
      <c r="B789" s="80">
        <v>0.4166666666666667</v>
      </c>
      <c r="C789" s="78">
        <v>17</v>
      </c>
      <c r="D789" s="79">
        <v>0</v>
      </c>
      <c r="G789" s="83">
        <v>38140</v>
      </c>
      <c r="H789" s="80">
        <v>0.4166666666666667</v>
      </c>
      <c r="I789" s="78">
        <v>36</v>
      </c>
      <c r="J789" s="79">
        <v>5</v>
      </c>
      <c r="M789" s="83">
        <v>38140</v>
      </c>
      <c r="N789" s="80">
        <v>0.4166666666666667</v>
      </c>
      <c r="O789" s="78">
        <v>11</v>
      </c>
      <c r="P789" s="79">
        <v>0</v>
      </c>
    </row>
    <row r="790" spans="1:16" ht="12.75">
      <c r="A790" s="83">
        <v>38140</v>
      </c>
      <c r="B790" s="80">
        <v>0.4583333333333333</v>
      </c>
      <c r="C790" s="78">
        <v>10</v>
      </c>
      <c r="D790" s="79">
        <v>0</v>
      </c>
      <c r="G790" s="83">
        <v>38140</v>
      </c>
      <c r="H790" s="80">
        <v>0.4583333333333333</v>
      </c>
      <c r="I790" s="78">
        <v>50</v>
      </c>
      <c r="J790" s="79">
        <v>5</v>
      </c>
      <c r="M790" s="83">
        <v>38140</v>
      </c>
      <c r="N790" s="80">
        <v>0.4583333333333333</v>
      </c>
      <c r="O790" s="78">
        <v>10</v>
      </c>
      <c r="P790" s="79">
        <v>0</v>
      </c>
    </row>
    <row r="791" spans="1:16" ht="12.75">
      <c r="A791" s="83">
        <v>38140</v>
      </c>
      <c r="B791" s="80">
        <v>0.5</v>
      </c>
      <c r="C791" s="78">
        <v>8</v>
      </c>
      <c r="D791" s="79">
        <v>0</v>
      </c>
      <c r="G791" s="83">
        <v>38140</v>
      </c>
      <c r="H791" s="80">
        <v>0.5</v>
      </c>
      <c r="I791" s="78">
        <v>42</v>
      </c>
      <c r="J791" s="79">
        <v>5</v>
      </c>
      <c r="M791" s="83">
        <v>38140</v>
      </c>
      <c r="N791" s="80">
        <v>0.5</v>
      </c>
      <c r="O791" s="78">
        <v>10</v>
      </c>
      <c r="P791" s="79">
        <v>0</v>
      </c>
    </row>
    <row r="792" spans="1:16" ht="12.75">
      <c r="A792" s="83">
        <v>38140</v>
      </c>
      <c r="B792" s="80">
        <v>0.5416666666666666</v>
      </c>
      <c r="C792" s="78">
        <v>10</v>
      </c>
      <c r="D792" s="79">
        <v>0</v>
      </c>
      <c r="G792" s="83">
        <v>38140</v>
      </c>
      <c r="H792" s="80">
        <v>0.5416666666666666</v>
      </c>
      <c r="I792" s="78">
        <v>32</v>
      </c>
      <c r="J792" s="79">
        <v>3</v>
      </c>
      <c r="M792" s="83">
        <v>38140</v>
      </c>
      <c r="N792" s="80">
        <v>0.5416666666666666</v>
      </c>
      <c r="O792" s="78">
        <v>10</v>
      </c>
      <c r="P792" s="79">
        <v>0</v>
      </c>
    </row>
    <row r="793" spans="1:16" ht="12.75">
      <c r="A793" s="83">
        <v>38140</v>
      </c>
      <c r="B793" s="80">
        <v>0.5833333333333334</v>
      </c>
      <c r="C793" s="78">
        <v>10</v>
      </c>
      <c r="D793" s="79">
        <v>0</v>
      </c>
      <c r="G793" s="83">
        <v>38140</v>
      </c>
      <c r="H793" s="80">
        <v>0.5833333333333334</v>
      </c>
      <c r="I793" s="78">
        <v>25</v>
      </c>
      <c r="J793" s="79">
        <v>3</v>
      </c>
      <c r="M793" s="83">
        <v>38140</v>
      </c>
      <c r="N793" s="80">
        <v>0.5833333333333334</v>
      </c>
      <c r="O793" s="78">
        <v>10</v>
      </c>
      <c r="P793" s="79">
        <v>0</v>
      </c>
    </row>
    <row r="794" spans="1:16" ht="12.75">
      <c r="A794" s="83">
        <v>38140</v>
      </c>
      <c r="B794" s="80">
        <v>0.625</v>
      </c>
      <c r="C794" s="78">
        <v>13</v>
      </c>
      <c r="D794" s="79">
        <v>0</v>
      </c>
      <c r="G794" s="83">
        <v>38140</v>
      </c>
      <c r="H794" s="80">
        <v>0.625</v>
      </c>
      <c r="I794" s="78">
        <v>25</v>
      </c>
      <c r="J794" s="79">
        <v>5</v>
      </c>
      <c r="M794" s="83">
        <v>38140</v>
      </c>
      <c r="N794" s="80">
        <v>0.625</v>
      </c>
      <c r="O794" s="78">
        <v>11</v>
      </c>
      <c r="P794" s="79">
        <v>0</v>
      </c>
    </row>
    <row r="795" spans="1:16" ht="12.75">
      <c r="A795" s="83">
        <v>38140</v>
      </c>
      <c r="B795" s="80">
        <v>0.6666666666666666</v>
      </c>
      <c r="C795" s="78">
        <v>27</v>
      </c>
      <c r="D795" s="79">
        <v>3</v>
      </c>
      <c r="G795" s="83">
        <v>38140</v>
      </c>
      <c r="H795" s="80">
        <v>0.6666666666666666</v>
      </c>
      <c r="I795" s="78">
        <v>34</v>
      </c>
      <c r="J795" s="79">
        <v>3</v>
      </c>
      <c r="M795" s="83">
        <v>38140</v>
      </c>
      <c r="N795" s="80">
        <v>0.6666666666666666</v>
      </c>
      <c r="O795" s="78">
        <v>11</v>
      </c>
      <c r="P795" s="79">
        <v>0</v>
      </c>
    </row>
    <row r="796" spans="1:16" ht="12.75">
      <c r="A796" s="83">
        <v>38140</v>
      </c>
      <c r="B796" s="80">
        <v>0.7083333333333334</v>
      </c>
      <c r="C796" s="78">
        <v>25</v>
      </c>
      <c r="D796" s="79">
        <v>3</v>
      </c>
      <c r="G796" s="83">
        <v>38140</v>
      </c>
      <c r="H796" s="80">
        <v>0.7083333333333334</v>
      </c>
      <c r="I796" s="78">
        <v>38</v>
      </c>
      <c r="J796" s="79">
        <v>3</v>
      </c>
      <c r="M796" s="83">
        <v>38140</v>
      </c>
      <c r="N796" s="80">
        <v>0.7083333333333334</v>
      </c>
      <c r="O796" s="78">
        <v>13</v>
      </c>
      <c r="P796" s="79">
        <v>0</v>
      </c>
    </row>
    <row r="797" spans="1:16" ht="12.75">
      <c r="A797" s="83">
        <v>38140</v>
      </c>
      <c r="B797" s="80">
        <v>0.75</v>
      </c>
      <c r="C797" s="78">
        <v>29</v>
      </c>
      <c r="D797" s="79">
        <v>0</v>
      </c>
      <c r="G797" s="83">
        <v>38140</v>
      </c>
      <c r="H797" s="80">
        <v>0.75</v>
      </c>
      <c r="I797" s="78">
        <v>53</v>
      </c>
      <c r="J797" s="79">
        <v>3</v>
      </c>
      <c r="M797" s="83">
        <v>38140</v>
      </c>
      <c r="N797" s="80">
        <v>0.75</v>
      </c>
      <c r="O797" s="78">
        <v>17</v>
      </c>
      <c r="P797" s="79">
        <v>3</v>
      </c>
    </row>
    <row r="798" spans="1:16" ht="12.75">
      <c r="A798" s="83">
        <v>38140</v>
      </c>
      <c r="B798" s="80">
        <v>0.7916666666666666</v>
      </c>
      <c r="C798" s="78">
        <v>19</v>
      </c>
      <c r="D798" s="79">
        <v>0</v>
      </c>
      <c r="G798" s="83">
        <v>38140</v>
      </c>
      <c r="H798" s="80">
        <v>0.7916666666666666</v>
      </c>
      <c r="I798" s="78">
        <v>46</v>
      </c>
      <c r="J798" s="79">
        <v>0</v>
      </c>
      <c r="M798" s="83">
        <v>38140</v>
      </c>
      <c r="N798" s="80">
        <v>0.7916666666666666</v>
      </c>
      <c r="O798" s="78">
        <v>21</v>
      </c>
      <c r="P798" s="79">
        <v>3</v>
      </c>
    </row>
    <row r="799" spans="1:16" ht="12.75">
      <c r="A799" s="83">
        <v>38140</v>
      </c>
      <c r="B799" s="80">
        <v>0.8333333333333334</v>
      </c>
      <c r="C799" s="78">
        <v>21</v>
      </c>
      <c r="D799" s="79">
        <v>0</v>
      </c>
      <c r="G799" s="83">
        <v>38140</v>
      </c>
      <c r="H799" s="80">
        <v>0.8333333333333334</v>
      </c>
      <c r="I799" s="78">
        <v>42</v>
      </c>
      <c r="J799" s="79">
        <v>0</v>
      </c>
      <c r="M799" s="83">
        <v>38140</v>
      </c>
      <c r="N799" s="80">
        <v>0.8333333333333334</v>
      </c>
      <c r="O799" s="78">
        <v>34</v>
      </c>
      <c r="P799" s="79">
        <v>3</v>
      </c>
    </row>
    <row r="800" spans="1:16" ht="12.75">
      <c r="A800" s="83">
        <v>38140</v>
      </c>
      <c r="B800" s="80">
        <v>0.875</v>
      </c>
      <c r="C800" s="78">
        <v>19</v>
      </c>
      <c r="D800" s="79">
        <v>0</v>
      </c>
      <c r="G800" s="83">
        <v>38140</v>
      </c>
      <c r="H800" s="80">
        <v>0.875</v>
      </c>
      <c r="I800" s="78">
        <v>42</v>
      </c>
      <c r="J800" s="79">
        <v>0</v>
      </c>
      <c r="M800" s="83">
        <v>38140</v>
      </c>
      <c r="N800" s="80">
        <v>0.875</v>
      </c>
      <c r="O800" s="78">
        <v>42</v>
      </c>
      <c r="P800" s="79">
        <v>0</v>
      </c>
    </row>
    <row r="801" spans="1:16" ht="12.75">
      <c r="A801" s="83">
        <v>38140</v>
      </c>
      <c r="B801" s="80">
        <v>0.9166666666666666</v>
      </c>
      <c r="C801" s="78">
        <v>25</v>
      </c>
      <c r="D801" s="79">
        <v>0</v>
      </c>
      <c r="G801" s="83">
        <v>38140</v>
      </c>
      <c r="H801" s="80">
        <v>0.9166666666666666</v>
      </c>
      <c r="I801" s="78">
        <v>40</v>
      </c>
      <c r="J801" s="79">
        <v>0</v>
      </c>
      <c r="M801" s="83">
        <v>38140</v>
      </c>
      <c r="N801" s="80">
        <v>0.9166666666666666</v>
      </c>
      <c r="O801" s="78">
        <v>29</v>
      </c>
      <c r="P801" s="79">
        <v>0</v>
      </c>
    </row>
    <row r="802" spans="1:16" ht="12.75">
      <c r="A802" s="83">
        <v>38140</v>
      </c>
      <c r="B802" s="80">
        <v>0.9583333333333334</v>
      </c>
      <c r="C802" s="78">
        <v>29</v>
      </c>
      <c r="D802" s="79">
        <v>0</v>
      </c>
      <c r="G802" s="83">
        <v>38140</v>
      </c>
      <c r="H802" s="80">
        <v>0.9583333333333334</v>
      </c>
      <c r="I802" s="78">
        <v>25</v>
      </c>
      <c r="J802" s="79">
        <v>0</v>
      </c>
      <c r="M802" s="83">
        <v>38140</v>
      </c>
      <c r="N802" s="80">
        <v>0.9583333333333334</v>
      </c>
      <c r="O802" s="78">
        <v>29</v>
      </c>
      <c r="P802" s="79">
        <v>0</v>
      </c>
    </row>
    <row r="803" spans="1:16" ht="12.75">
      <c r="A803" s="83">
        <v>38140</v>
      </c>
      <c r="B803" s="81">
        <v>1</v>
      </c>
      <c r="C803" s="78">
        <v>17</v>
      </c>
      <c r="D803" s="79">
        <v>0</v>
      </c>
      <c r="G803" s="83">
        <v>38140</v>
      </c>
      <c r="H803" s="81">
        <v>1</v>
      </c>
      <c r="I803" s="78">
        <v>21</v>
      </c>
      <c r="J803" s="79">
        <v>0</v>
      </c>
      <c r="M803" s="83">
        <v>38140</v>
      </c>
      <c r="N803" s="81">
        <v>1</v>
      </c>
      <c r="O803" s="78">
        <v>31</v>
      </c>
      <c r="P803" s="79">
        <v>0</v>
      </c>
    </row>
    <row r="804" spans="1:16" s="92" customFormat="1" ht="12.75">
      <c r="A804" s="90">
        <v>38141</v>
      </c>
      <c r="B804" s="91">
        <v>0.041666666666666664</v>
      </c>
      <c r="C804" s="92">
        <v>27</v>
      </c>
      <c r="D804" s="92">
        <v>0</v>
      </c>
      <c r="G804" s="90">
        <v>38141</v>
      </c>
      <c r="H804" s="91">
        <v>0.041666666666666664</v>
      </c>
      <c r="I804" s="92">
        <v>17</v>
      </c>
      <c r="J804" s="92">
        <v>0</v>
      </c>
      <c r="M804" s="90">
        <v>38141</v>
      </c>
      <c r="N804" s="91">
        <v>0.041666666666666664</v>
      </c>
      <c r="O804" s="92">
        <v>34</v>
      </c>
      <c r="P804" s="92">
        <v>0</v>
      </c>
    </row>
    <row r="805" spans="1:16" ht="12.75">
      <c r="A805" s="83">
        <v>38141</v>
      </c>
      <c r="B805" s="80">
        <v>0.08333333333333333</v>
      </c>
      <c r="C805" s="78">
        <v>23</v>
      </c>
      <c r="D805" s="79">
        <v>0</v>
      </c>
      <c r="G805" s="83">
        <v>38141</v>
      </c>
      <c r="H805" s="80">
        <v>0.08333333333333333</v>
      </c>
      <c r="I805" s="78">
        <v>13</v>
      </c>
      <c r="J805" s="79">
        <v>0</v>
      </c>
      <c r="M805" s="83">
        <v>38141</v>
      </c>
      <c r="N805" s="80">
        <v>0.08333333333333333</v>
      </c>
      <c r="O805" s="78">
        <v>32</v>
      </c>
      <c r="P805" s="79">
        <v>0</v>
      </c>
    </row>
    <row r="806" spans="1:16" ht="12.75">
      <c r="A806" s="83">
        <v>38141</v>
      </c>
      <c r="B806" s="80">
        <v>0.125</v>
      </c>
      <c r="C806" s="78">
        <v>25</v>
      </c>
      <c r="D806" s="79">
        <v>0</v>
      </c>
      <c r="G806" s="83">
        <v>38141</v>
      </c>
      <c r="H806" s="80">
        <v>0.125</v>
      </c>
      <c r="I806" s="78">
        <v>15</v>
      </c>
      <c r="J806" s="79">
        <v>0</v>
      </c>
      <c r="M806" s="83">
        <v>38141</v>
      </c>
      <c r="N806" s="80">
        <v>0.125</v>
      </c>
      <c r="O806" s="78">
        <v>31</v>
      </c>
      <c r="P806" s="79">
        <v>0</v>
      </c>
    </row>
    <row r="807" spans="1:16" ht="12.75">
      <c r="A807" s="83">
        <v>38141</v>
      </c>
      <c r="B807" s="80">
        <v>0.16666666666666666</v>
      </c>
      <c r="C807" s="78">
        <v>25</v>
      </c>
      <c r="D807" s="79">
        <v>0</v>
      </c>
      <c r="G807" s="83">
        <v>38141</v>
      </c>
      <c r="H807" s="80">
        <v>0.16666666666666666</v>
      </c>
      <c r="I807" s="78">
        <v>11</v>
      </c>
      <c r="J807" s="79">
        <v>0</v>
      </c>
      <c r="M807" s="83">
        <v>38141</v>
      </c>
      <c r="N807" s="80">
        <v>0.16666666666666666</v>
      </c>
      <c r="O807" s="78">
        <v>27</v>
      </c>
      <c r="P807" s="79">
        <v>0</v>
      </c>
    </row>
    <row r="808" spans="1:16" ht="12.75">
      <c r="A808" s="83">
        <v>38141</v>
      </c>
      <c r="B808" s="80">
        <v>0.20833333333333334</v>
      </c>
      <c r="C808" s="78">
        <v>23</v>
      </c>
      <c r="D808" s="79">
        <v>0</v>
      </c>
      <c r="G808" s="83">
        <v>38141</v>
      </c>
      <c r="H808" s="80">
        <v>0.20833333333333334</v>
      </c>
      <c r="I808" s="78">
        <v>19</v>
      </c>
      <c r="J808" s="79">
        <v>0</v>
      </c>
      <c r="M808" s="83">
        <v>38141</v>
      </c>
      <c r="N808" s="80">
        <v>0.20833333333333334</v>
      </c>
      <c r="O808" s="78">
        <v>31</v>
      </c>
      <c r="P808" s="79">
        <v>0</v>
      </c>
    </row>
    <row r="809" spans="1:16" ht="12.75">
      <c r="A809" s="83">
        <v>38141</v>
      </c>
      <c r="B809" s="80">
        <v>0.25</v>
      </c>
      <c r="C809" s="78">
        <v>27</v>
      </c>
      <c r="D809" s="79">
        <v>3</v>
      </c>
      <c r="G809" s="83">
        <v>38141</v>
      </c>
      <c r="H809" s="80">
        <v>0.25</v>
      </c>
      <c r="I809" s="78">
        <v>29</v>
      </c>
      <c r="J809" s="79">
        <v>0</v>
      </c>
      <c r="M809" s="83">
        <v>38141</v>
      </c>
      <c r="N809" s="80">
        <v>0.25</v>
      </c>
      <c r="O809" s="78">
        <v>31</v>
      </c>
      <c r="P809" s="79">
        <v>0</v>
      </c>
    </row>
    <row r="810" spans="1:16" ht="12.75">
      <c r="A810" s="83">
        <v>38141</v>
      </c>
      <c r="B810" s="80">
        <v>0.2916666666666667</v>
      </c>
      <c r="C810" s="78">
        <v>31</v>
      </c>
      <c r="D810" s="79">
        <v>3</v>
      </c>
      <c r="G810" s="83">
        <v>38141</v>
      </c>
      <c r="H810" s="80">
        <v>0.2916666666666667</v>
      </c>
      <c r="I810" s="78">
        <v>25</v>
      </c>
      <c r="J810" s="79">
        <v>0</v>
      </c>
      <c r="M810" s="83">
        <v>38141</v>
      </c>
      <c r="N810" s="80">
        <v>0.2916666666666667</v>
      </c>
      <c r="O810" s="78">
        <v>31</v>
      </c>
      <c r="P810" s="79">
        <v>3</v>
      </c>
    </row>
    <row r="811" spans="1:16" ht="12.75">
      <c r="A811" s="83">
        <v>38141</v>
      </c>
      <c r="B811" s="80">
        <v>0.3333333333333333</v>
      </c>
      <c r="C811" s="78">
        <v>40</v>
      </c>
      <c r="D811" s="79">
        <v>3</v>
      </c>
      <c r="G811" s="83">
        <v>38141</v>
      </c>
      <c r="H811" s="80">
        <v>0.3333333333333333</v>
      </c>
      <c r="I811" s="78">
        <v>57</v>
      </c>
      <c r="J811" s="79">
        <v>3</v>
      </c>
      <c r="M811" s="83">
        <v>38141</v>
      </c>
      <c r="N811" s="80">
        <v>0.3333333333333333</v>
      </c>
      <c r="O811" s="78">
        <v>36</v>
      </c>
      <c r="P811" s="79">
        <v>3</v>
      </c>
    </row>
    <row r="812" spans="1:16" ht="12.75">
      <c r="A812" s="83">
        <v>38141</v>
      </c>
      <c r="B812" s="80">
        <v>0.375</v>
      </c>
      <c r="C812" s="78">
        <v>32</v>
      </c>
      <c r="D812" s="79">
        <v>3</v>
      </c>
      <c r="G812" s="83">
        <v>38141</v>
      </c>
      <c r="H812" s="80">
        <v>0.375</v>
      </c>
      <c r="I812" s="78">
        <v>48</v>
      </c>
      <c r="J812" s="79">
        <v>0</v>
      </c>
      <c r="M812" s="83">
        <v>38141</v>
      </c>
      <c r="N812" s="80">
        <v>0.375</v>
      </c>
      <c r="O812" s="78">
        <v>71</v>
      </c>
      <c r="P812" s="79">
        <v>5</v>
      </c>
    </row>
    <row r="813" spans="1:16" ht="12.75">
      <c r="A813" s="83">
        <v>38141</v>
      </c>
      <c r="B813" s="80">
        <v>0.4166666666666667</v>
      </c>
      <c r="C813" s="78">
        <v>40</v>
      </c>
      <c r="D813" s="79">
        <v>21</v>
      </c>
      <c r="G813" s="83">
        <v>38141</v>
      </c>
      <c r="H813" s="80">
        <v>0.4166666666666667</v>
      </c>
      <c r="I813" s="78">
        <v>32</v>
      </c>
      <c r="J813" s="79">
        <v>0</v>
      </c>
      <c r="M813" s="83">
        <v>38141</v>
      </c>
      <c r="N813" s="80">
        <v>0.4166666666666667</v>
      </c>
      <c r="O813" s="78">
        <v>65</v>
      </c>
      <c r="P813" s="79">
        <v>5</v>
      </c>
    </row>
    <row r="814" spans="1:16" ht="12.75">
      <c r="A814" s="83">
        <v>38141</v>
      </c>
      <c r="B814" s="80">
        <v>0.4583333333333333</v>
      </c>
      <c r="C814" s="78">
        <v>27</v>
      </c>
      <c r="D814" s="79">
        <v>5</v>
      </c>
      <c r="G814" s="83">
        <v>38141</v>
      </c>
      <c r="H814" s="80">
        <v>0.4583333333333333</v>
      </c>
      <c r="I814" s="78">
        <v>21</v>
      </c>
      <c r="J814" s="79">
        <v>0</v>
      </c>
      <c r="M814" s="83">
        <v>38141</v>
      </c>
      <c r="N814" s="80">
        <v>0.4583333333333333</v>
      </c>
      <c r="O814" s="78">
        <v>52</v>
      </c>
      <c r="P814" s="79">
        <v>5</v>
      </c>
    </row>
    <row r="815" spans="1:16" ht="12.75">
      <c r="A815" s="83">
        <v>38141</v>
      </c>
      <c r="B815" s="80">
        <v>0.5</v>
      </c>
      <c r="C815" s="78">
        <v>19</v>
      </c>
      <c r="D815" s="79">
        <v>8</v>
      </c>
      <c r="G815" s="83">
        <v>38141</v>
      </c>
      <c r="H815" s="80">
        <v>0.5</v>
      </c>
      <c r="I815" s="78">
        <v>27</v>
      </c>
      <c r="J815" s="79">
        <v>0</v>
      </c>
      <c r="M815" s="83">
        <v>38141</v>
      </c>
      <c r="N815" s="80">
        <v>0.5</v>
      </c>
      <c r="O815" s="78">
        <v>40</v>
      </c>
      <c r="P815" s="79">
        <v>5</v>
      </c>
    </row>
    <row r="816" spans="1:16" ht="12.75">
      <c r="A816" s="83">
        <v>38141</v>
      </c>
      <c r="B816" s="80">
        <v>0.5416666666666666</v>
      </c>
      <c r="C816" s="78">
        <v>23</v>
      </c>
      <c r="D816" s="79">
        <v>8</v>
      </c>
      <c r="G816" s="83">
        <v>38141</v>
      </c>
      <c r="H816" s="80">
        <v>0.5416666666666666</v>
      </c>
      <c r="I816" s="78">
        <v>27</v>
      </c>
      <c r="J816" s="79">
        <v>0</v>
      </c>
      <c r="M816" s="83">
        <v>38141</v>
      </c>
      <c r="N816" s="80">
        <v>0.5416666666666666</v>
      </c>
      <c r="O816" s="78">
        <v>32</v>
      </c>
      <c r="P816" s="79">
        <v>5</v>
      </c>
    </row>
    <row r="817" spans="1:16" ht="12.75">
      <c r="A817" s="83">
        <v>38141</v>
      </c>
      <c r="B817" s="80">
        <v>0.5833333333333334</v>
      </c>
      <c r="C817" s="78">
        <v>17</v>
      </c>
      <c r="D817" s="79">
        <v>3</v>
      </c>
      <c r="G817" s="83">
        <v>38141</v>
      </c>
      <c r="H817" s="80">
        <v>0.5833333333333334</v>
      </c>
      <c r="I817" s="78">
        <v>31</v>
      </c>
      <c r="J817" s="79">
        <v>0</v>
      </c>
      <c r="M817" s="83">
        <v>38141</v>
      </c>
      <c r="N817" s="80">
        <v>0.5833333333333334</v>
      </c>
      <c r="O817" s="78">
        <v>21</v>
      </c>
      <c r="P817" s="79">
        <v>3</v>
      </c>
    </row>
    <row r="818" spans="1:16" ht="12.75">
      <c r="A818" s="83">
        <v>38141</v>
      </c>
      <c r="B818" s="80">
        <v>0.625</v>
      </c>
      <c r="C818" s="78">
        <v>15</v>
      </c>
      <c r="D818" s="79">
        <v>0</v>
      </c>
      <c r="G818" s="83">
        <v>38141</v>
      </c>
      <c r="H818" s="80">
        <v>0.625</v>
      </c>
      <c r="I818" s="78">
        <v>31</v>
      </c>
      <c r="J818" s="79">
        <v>0</v>
      </c>
      <c r="M818" s="83">
        <v>38141</v>
      </c>
      <c r="N818" s="80">
        <v>0.625</v>
      </c>
      <c r="O818" s="78">
        <v>71</v>
      </c>
      <c r="P818" s="79">
        <v>3</v>
      </c>
    </row>
    <row r="819" spans="1:16" ht="12.75">
      <c r="A819" s="83">
        <v>38141</v>
      </c>
      <c r="B819" s="80">
        <v>0.6666666666666666</v>
      </c>
      <c r="C819" s="78">
        <v>13</v>
      </c>
      <c r="D819" s="79">
        <v>0</v>
      </c>
      <c r="G819" s="83">
        <v>38141</v>
      </c>
      <c r="H819" s="80">
        <v>0.6666666666666666</v>
      </c>
      <c r="I819" s="78">
        <v>32</v>
      </c>
      <c r="J819" s="79">
        <v>0</v>
      </c>
      <c r="M819" s="83">
        <v>38141</v>
      </c>
      <c r="N819" s="80">
        <v>0.6666666666666666</v>
      </c>
      <c r="O819" s="78">
        <v>80</v>
      </c>
      <c r="P819" s="79">
        <v>5</v>
      </c>
    </row>
    <row r="820" spans="1:16" ht="12.75">
      <c r="A820" s="83">
        <v>38141</v>
      </c>
      <c r="B820" s="80">
        <v>0.7083333333333334</v>
      </c>
      <c r="C820" s="78">
        <v>23</v>
      </c>
      <c r="D820" s="79">
        <v>0</v>
      </c>
      <c r="G820" s="83">
        <v>38141</v>
      </c>
      <c r="H820" s="80">
        <v>0.7083333333333334</v>
      </c>
      <c r="I820" s="78">
        <v>42</v>
      </c>
      <c r="J820" s="79">
        <v>0</v>
      </c>
      <c r="M820" s="83">
        <v>38141</v>
      </c>
      <c r="N820" s="80">
        <v>0.7083333333333334</v>
      </c>
      <c r="O820" s="78">
        <v>82</v>
      </c>
      <c r="P820" s="79">
        <v>3</v>
      </c>
    </row>
    <row r="821" spans="1:16" ht="12.75">
      <c r="A821" s="83">
        <v>38141</v>
      </c>
      <c r="B821" s="80">
        <v>0.75</v>
      </c>
      <c r="C821" s="78">
        <v>17</v>
      </c>
      <c r="D821" s="79">
        <v>0</v>
      </c>
      <c r="G821" s="83">
        <v>38141</v>
      </c>
      <c r="H821" s="80">
        <v>0.75</v>
      </c>
      <c r="I821" s="78">
        <v>44</v>
      </c>
      <c r="J821" s="79">
        <v>0</v>
      </c>
      <c r="M821" s="83">
        <v>38141</v>
      </c>
      <c r="N821" s="80">
        <v>0.75</v>
      </c>
      <c r="O821" s="78">
        <v>67</v>
      </c>
      <c r="P821" s="79">
        <v>3</v>
      </c>
    </row>
    <row r="822" spans="1:16" ht="12.75">
      <c r="A822" s="83">
        <v>38141</v>
      </c>
      <c r="B822" s="80">
        <v>0.7916666666666666</v>
      </c>
      <c r="C822" s="78">
        <v>15</v>
      </c>
      <c r="D822" s="79">
        <v>0</v>
      </c>
      <c r="G822" s="83">
        <v>38141</v>
      </c>
      <c r="H822" s="80">
        <v>0.7916666666666666</v>
      </c>
      <c r="I822" s="78">
        <v>38</v>
      </c>
      <c r="J822" s="79">
        <v>0</v>
      </c>
      <c r="M822" s="83">
        <v>38141</v>
      </c>
      <c r="N822" s="80">
        <v>0.7916666666666666</v>
      </c>
      <c r="O822" s="78">
        <v>50</v>
      </c>
      <c r="P822" s="79">
        <v>0</v>
      </c>
    </row>
    <row r="823" spans="1:16" ht="12.75">
      <c r="A823" s="83">
        <v>38141</v>
      </c>
      <c r="B823" s="80">
        <v>0.8333333333333334</v>
      </c>
      <c r="C823" s="78">
        <v>15</v>
      </c>
      <c r="D823" s="79">
        <v>0</v>
      </c>
      <c r="G823" s="83">
        <v>38141</v>
      </c>
      <c r="H823" s="80">
        <v>0.8333333333333334</v>
      </c>
      <c r="I823" s="78">
        <v>31</v>
      </c>
      <c r="J823" s="79">
        <v>0</v>
      </c>
      <c r="M823" s="83">
        <v>38141</v>
      </c>
      <c r="N823" s="80">
        <v>0.8333333333333334</v>
      </c>
      <c r="O823" s="78">
        <v>101</v>
      </c>
      <c r="P823" s="79">
        <v>3</v>
      </c>
    </row>
    <row r="824" spans="1:16" ht="12.75">
      <c r="A824" s="83">
        <v>38141</v>
      </c>
      <c r="B824" s="80">
        <v>0.875</v>
      </c>
      <c r="C824" s="78">
        <v>13</v>
      </c>
      <c r="D824" s="79">
        <v>0</v>
      </c>
      <c r="G824" s="83">
        <v>38141</v>
      </c>
      <c r="H824" s="80">
        <v>0.875</v>
      </c>
      <c r="I824" s="78">
        <v>29</v>
      </c>
      <c r="J824" s="79">
        <v>0</v>
      </c>
      <c r="M824" s="83">
        <v>38141</v>
      </c>
      <c r="N824" s="80">
        <v>0.875</v>
      </c>
      <c r="O824" s="78">
        <v>86</v>
      </c>
      <c r="P824" s="79">
        <v>5</v>
      </c>
    </row>
    <row r="825" spans="1:16" ht="12.75">
      <c r="A825" s="83">
        <v>38141</v>
      </c>
      <c r="B825" s="80">
        <v>0.9166666666666666</v>
      </c>
      <c r="C825" s="78">
        <v>13</v>
      </c>
      <c r="D825" s="79">
        <v>0</v>
      </c>
      <c r="G825" s="83">
        <v>38141</v>
      </c>
      <c r="H825" s="80">
        <v>0.9166666666666666</v>
      </c>
      <c r="I825" s="78">
        <v>27</v>
      </c>
      <c r="J825" s="79">
        <v>0</v>
      </c>
      <c r="M825" s="83">
        <v>38141</v>
      </c>
      <c r="N825" s="80">
        <v>0.9166666666666666</v>
      </c>
      <c r="O825" s="78">
        <v>73</v>
      </c>
      <c r="P825" s="79">
        <v>5</v>
      </c>
    </row>
    <row r="826" spans="1:16" ht="12.75">
      <c r="A826" s="83">
        <v>38141</v>
      </c>
      <c r="B826" s="80">
        <v>0.9583333333333334</v>
      </c>
      <c r="C826" s="78">
        <v>13</v>
      </c>
      <c r="D826" s="79">
        <v>0</v>
      </c>
      <c r="G826" s="83">
        <v>38141</v>
      </c>
      <c r="H826" s="80">
        <v>0.9583333333333334</v>
      </c>
      <c r="I826" s="78">
        <v>31</v>
      </c>
      <c r="J826" s="79">
        <v>0</v>
      </c>
      <c r="M826" s="83">
        <v>38141</v>
      </c>
      <c r="N826" s="80">
        <v>0.9583333333333334</v>
      </c>
      <c r="O826" s="78">
        <v>57</v>
      </c>
      <c r="P826" s="79">
        <v>5</v>
      </c>
    </row>
    <row r="827" spans="1:16" ht="12.75">
      <c r="A827" s="83">
        <v>38141</v>
      </c>
      <c r="B827" s="81">
        <v>1</v>
      </c>
      <c r="C827" s="78">
        <v>10</v>
      </c>
      <c r="D827" s="79">
        <v>0</v>
      </c>
      <c r="G827" s="83">
        <v>38141</v>
      </c>
      <c r="H827" s="81">
        <v>1</v>
      </c>
      <c r="I827" s="78">
        <v>17</v>
      </c>
      <c r="J827" s="79">
        <v>0</v>
      </c>
      <c r="M827" s="83">
        <v>38141</v>
      </c>
      <c r="N827" s="81">
        <v>1</v>
      </c>
      <c r="O827" s="78">
        <v>44</v>
      </c>
      <c r="P827" s="79">
        <v>5</v>
      </c>
    </row>
    <row r="828" spans="1:16" s="92" customFormat="1" ht="12.75">
      <c r="A828" s="90">
        <v>38142</v>
      </c>
      <c r="B828" s="91">
        <v>0.041666666666666664</v>
      </c>
      <c r="C828" s="92">
        <v>6</v>
      </c>
      <c r="D828" s="92">
        <v>0</v>
      </c>
      <c r="G828" s="90">
        <v>38142</v>
      </c>
      <c r="H828" s="91">
        <v>0.041666666666666664</v>
      </c>
      <c r="I828" s="92">
        <v>8</v>
      </c>
      <c r="J828" s="92">
        <v>0</v>
      </c>
      <c r="M828" s="90">
        <v>38142</v>
      </c>
      <c r="N828" s="91">
        <v>0.041666666666666664</v>
      </c>
      <c r="O828" s="92">
        <v>36</v>
      </c>
      <c r="P828" s="92">
        <v>3</v>
      </c>
    </row>
    <row r="829" spans="1:16" ht="12.75">
      <c r="A829" s="83">
        <v>38142</v>
      </c>
      <c r="B829" s="80">
        <v>0.08333333333333333</v>
      </c>
      <c r="C829" s="78">
        <v>8</v>
      </c>
      <c r="D829" s="79">
        <v>0</v>
      </c>
      <c r="G829" s="83">
        <v>38142</v>
      </c>
      <c r="H829" s="80">
        <v>0.08333333333333333</v>
      </c>
      <c r="I829" s="78">
        <v>8</v>
      </c>
      <c r="J829" s="79">
        <v>0</v>
      </c>
      <c r="M829" s="83">
        <v>38142</v>
      </c>
      <c r="N829" s="80">
        <v>0.08333333333333333</v>
      </c>
      <c r="O829" s="78">
        <v>29</v>
      </c>
      <c r="P829" s="79">
        <v>0</v>
      </c>
    </row>
    <row r="830" spans="1:16" ht="12.75">
      <c r="A830" s="83">
        <v>38142</v>
      </c>
      <c r="B830" s="80">
        <v>0.125</v>
      </c>
      <c r="C830" s="78">
        <v>4</v>
      </c>
      <c r="D830" s="79">
        <v>0</v>
      </c>
      <c r="G830" s="83">
        <v>38142</v>
      </c>
      <c r="H830" s="80">
        <v>0.125</v>
      </c>
      <c r="I830" s="78">
        <v>6</v>
      </c>
      <c r="J830" s="79">
        <v>0</v>
      </c>
      <c r="M830" s="83">
        <v>38142</v>
      </c>
      <c r="N830" s="80">
        <v>0.125</v>
      </c>
      <c r="O830" s="78">
        <v>17</v>
      </c>
      <c r="P830" s="79">
        <v>0</v>
      </c>
    </row>
    <row r="831" spans="1:16" ht="12.75">
      <c r="A831" s="83">
        <v>38142</v>
      </c>
      <c r="B831" s="80">
        <v>0.16666666666666666</v>
      </c>
      <c r="C831" s="78">
        <v>6</v>
      </c>
      <c r="D831" s="79">
        <v>0</v>
      </c>
      <c r="G831" s="83">
        <v>38142</v>
      </c>
      <c r="H831" s="80">
        <v>0.16666666666666666</v>
      </c>
      <c r="I831" s="78">
        <v>6</v>
      </c>
      <c r="J831" s="79">
        <v>0</v>
      </c>
      <c r="M831" s="83">
        <v>38142</v>
      </c>
      <c r="N831" s="80">
        <v>0.16666666666666666</v>
      </c>
      <c r="O831" s="78">
        <v>21</v>
      </c>
      <c r="P831" s="79">
        <v>0</v>
      </c>
    </row>
    <row r="832" spans="1:16" ht="12.75">
      <c r="A832" s="83">
        <v>38142</v>
      </c>
      <c r="B832" s="80">
        <v>0.20833333333333334</v>
      </c>
      <c r="C832" s="78">
        <v>11</v>
      </c>
      <c r="D832" s="79">
        <v>0</v>
      </c>
      <c r="G832" s="83">
        <v>38142</v>
      </c>
      <c r="H832" s="80">
        <v>0.20833333333333334</v>
      </c>
      <c r="I832" s="78">
        <v>10</v>
      </c>
      <c r="J832" s="79">
        <v>0</v>
      </c>
      <c r="M832" s="83">
        <v>38142</v>
      </c>
      <c r="N832" s="80">
        <v>0.20833333333333334</v>
      </c>
      <c r="O832" s="78">
        <v>21</v>
      </c>
      <c r="P832" s="79">
        <v>0</v>
      </c>
    </row>
    <row r="833" spans="1:16" ht="12.75">
      <c r="A833" s="83">
        <v>38142</v>
      </c>
      <c r="B833" s="80">
        <v>0.25</v>
      </c>
      <c r="C833" s="78">
        <v>13</v>
      </c>
      <c r="D833" s="79">
        <v>0</v>
      </c>
      <c r="G833" s="83">
        <v>38142</v>
      </c>
      <c r="H833" s="80">
        <v>0.25</v>
      </c>
      <c r="I833" s="78">
        <v>17</v>
      </c>
      <c r="J833" s="79">
        <v>0</v>
      </c>
      <c r="M833" s="83">
        <v>38142</v>
      </c>
      <c r="N833" s="80">
        <v>0.25</v>
      </c>
      <c r="O833" s="78">
        <v>23</v>
      </c>
      <c r="P833" s="79">
        <v>0</v>
      </c>
    </row>
    <row r="834" spans="1:16" ht="12.75">
      <c r="A834" s="83">
        <v>38142</v>
      </c>
      <c r="B834" s="80">
        <v>0.2916666666666667</v>
      </c>
      <c r="C834" s="78">
        <v>19</v>
      </c>
      <c r="D834" s="79">
        <v>3</v>
      </c>
      <c r="G834" s="83">
        <v>38142</v>
      </c>
      <c r="H834" s="80">
        <v>0.2916666666666667</v>
      </c>
      <c r="I834" s="78">
        <v>31</v>
      </c>
      <c r="J834" s="79">
        <v>0</v>
      </c>
      <c r="M834" s="83">
        <v>38142</v>
      </c>
      <c r="N834" s="80">
        <v>0.2916666666666667</v>
      </c>
      <c r="O834" s="78">
        <v>15</v>
      </c>
      <c r="P834" s="79">
        <v>0</v>
      </c>
    </row>
    <row r="835" spans="1:16" ht="12.75">
      <c r="A835" s="83">
        <v>38142</v>
      </c>
      <c r="B835" s="80">
        <v>0.3333333333333333</v>
      </c>
      <c r="C835" s="78">
        <v>19</v>
      </c>
      <c r="D835" s="79">
        <v>3</v>
      </c>
      <c r="G835" s="83">
        <v>38142</v>
      </c>
      <c r="H835" s="80">
        <v>0.3333333333333333</v>
      </c>
      <c r="I835" s="78">
        <v>34</v>
      </c>
      <c r="J835" s="79">
        <v>0</v>
      </c>
      <c r="M835" s="83">
        <v>38142</v>
      </c>
      <c r="N835" s="80">
        <v>0.3333333333333333</v>
      </c>
      <c r="O835" s="78">
        <v>13</v>
      </c>
      <c r="P835" s="79">
        <v>0</v>
      </c>
    </row>
    <row r="836" spans="1:16" ht="12.75">
      <c r="A836" s="83">
        <v>38142</v>
      </c>
      <c r="B836" s="80">
        <v>0.375</v>
      </c>
      <c r="C836" s="78">
        <v>15</v>
      </c>
      <c r="D836" s="79">
        <v>3</v>
      </c>
      <c r="G836" s="83">
        <v>38142</v>
      </c>
      <c r="H836" s="80">
        <v>0.375</v>
      </c>
      <c r="I836" s="78">
        <v>38</v>
      </c>
      <c r="J836" s="79">
        <v>0</v>
      </c>
      <c r="M836" s="83">
        <v>38142</v>
      </c>
      <c r="N836" s="80">
        <v>0.375</v>
      </c>
      <c r="O836" s="78">
        <v>11</v>
      </c>
      <c r="P836" s="79">
        <v>0</v>
      </c>
    </row>
    <row r="837" spans="1:16" ht="12.75">
      <c r="A837" s="83">
        <v>38142</v>
      </c>
      <c r="B837" s="80">
        <v>0.4166666666666667</v>
      </c>
      <c r="C837" s="78">
        <v>17</v>
      </c>
      <c r="D837" s="79">
        <v>0</v>
      </c>
      <c r="G837" s="83">
        <v>38142</v>
      </c>
      <c r="H837" s="80">
        <v>0.4166666666666667</v>
      </c>
      <c r="I837" s="78">
        <v>32</v>
      </c>
      <c r="J837" s="79">
        <v>0</v>
      </c>
      <c r="M837" s="83">
        <v>38142</v>
      </c>
      <c r="N837" s="80">
        <v>0.4166666666666667</v>
      </c>
      <c r="O837" s="78">
        <v>8</v>
      </c>
      <c r="P837" s="79">
        <v>0</v>
      </c>
    </row>
    <row r="838" spans="1:16" ht="12.75">
      <c r="A838" s="83">
        <v>38142</v>
      </c>
      <c r="B838" s="80">
        <v>0.4583333333333333</v>
      </c>
      <c r="C838" s="78">
        <v>19</v>
      </c>
      <c r="D838" s="79">
        <v>3</v>
      </c>
      <c r="G838" s="83">
        <v>38142</v>
      </c>
      <c r="H838" s="80">
        <v>0.4583333333333333</v>
      </c>
      <c r="I838" s="78">
        <v>32</v>
      </c>
      <c r="J838" s="79">
        <v>0</v>
      </c>
      <c r="M838" s="83">
        <v>38142</v>
      </c>
      <c r="N838" s="80">
        <v>0.4583333333333333</v>
      </c>
      <c r="O838" s="78">
        <v>13</v>
      </c>
      <c r="P838" s="79">
        <v>0</v>
      </c>
    </row>
    <row r="839" spans="1:16" ht="12.75">
      <c r="A839" s="83">
        <v>38142</v>
      </c>
      <c r="B839" s="80">
        <v>0.5</v>
      </c>
      <c r="C839" s="78">
        <v>19</v>
      </c>
      <c r="D839" s="79">
        <v>3</v>
      </c>
      <c r="G839" s="83">
        <v>38142</v>
      </c>
      <c r="H839" s="80">
        <v>0.5</v>
      </c>
      <c r="I839" s="78">
        <v>34</v>
      </c>
      <c r="J839" s="79">
        <v>0</v>
      </c>
      <c r="M839" s="83">
        <v>38142</v>
      </c>
      <c r="N839" s="80">
        <v>0.5</v>
      </c>
      <c r="O839" s="78">
        <v>8</v>
      </c>
      <c r="P839" s="79">
        <v>0</v>
      </c>
    </row>
    <row r="840" spans="1:16" ht="12.75">
      <c r="A840" s="83">
        <v>38142</v>
      </c>
      <c r="B840" s="80">
        <v>0.5416666666666666</v>
      </c>
      <c r="C840" s="78">
        <v>15</v>
      </c>
      <c r="D840" s="79">
        <v>3</v>
      </c>
      <c r="G840" s="83">
        <v>38142</v>
      </c>
      <c r="H840" s="80">
        <v>0.5416666666666666</v>
      </c>
      <c r="I840" s="78">
        <v>36</v>
      </c>
      <c r="J840" s="79">
        <v>0</v>
      </c>
      <c r="M840" s="83">
        <v>38142</v>
      </c>
      <c r="N840" s="80">
        <v>0.5416666666666666</v>
      </c>
      <c r="O840" s="78">
        <v>6</v>
      </c>
      <c r="P840" s="79">
        <v>0</v>
      </c>
    </row>
    <row r="841" spans="1:16" ht="12.75">
      <c r="A841" s="83">
        <v>38142</v>
      </c>
      <c r="B841" s="80">
        <v>0.5833333333333334</v>
      </c>
      <c r="C841" s="78">
        <v>15</v>
      </c>
      <c r="D841" s="79">
        <v>3</v>
      </c>
      <c r="G841" s="83">
        <v>38142</v>
      </c>
      <c r="H841" s="80">
        <v>0.5833333333333334</v>
      </c>
      <c r="I841" s="78">
        <v>38</v>
      </c>
      <c r="J841" s="79">
        <v>0</v>
      </c>
      <c r="M841" s="83">
        <v>38142</v>
      </c>
      <c r="N841" s="80">
        <v>0.5833333333333334</v>
      </c>
      <c r="O841" s="78">
        <v>6</v>
      </c>
      <c r="P841" s="79">
        <v>0</v>
      </c>
    </row>
    <row r="842" spans="1:16" ht="12.75">
      <c r="A842" s="83">
        <v>38142</v>
      </c>
      <c r="B842" s="80">
        <v>0.625</v>
      </c>
      <c r="C842" s="78">
        <v>15</v>
      </c>
      <c r="D842" s="79">
        <v>3</v>
      </c>
      <c r="G842" s="83">
        <v>38142</v>
      </c>
      <c r="H842" s="80">
        <v>0.625</v>
      </c>
      <c r="I842" s="78">
        <v>34</v>
      </c>
      <c r="J842" s="79">
        <v>0</v>
      </c>
      <c r="M842" s="83">
        <v>38142</v>
      </c>
      <c r="N842" s="80">
        <v>0.625</v>
      </c>
      <c r="O842" s="78">
        <v>8</v>
      </c>
      <c r="P842" s="79">
        <v>3</v>
      </c>
    </row>
    <row r="843" spans="1:16" ht="12.75">
      <c r="A843" s="83">
        <v>38142</v>
      </c>
      <c r="B843" s="80">
        <v>0.6666666666666666</v>
      </c>
      <c r="C843" s="78">
        <v>21</v>
      </c>
      <c r="D843" s="79">
        <v>3</v>
      </c>
      <c r="G843" s="83">
        <v>38142</v>
      </c>
      <c r="H843" s="80">
        <v>0.6666666666666666</v>
      </c>
      <c r="I843" s="78">
        <v>31</v>
      </c>
      <c r="J843" s="79">
        <v>0</v>
      </c>
      <c r="M843" s="83">
        <v>38142</v>
      </c>
      <c r="N843" s="80">
        <v>0.6666666666666666</v>
      </c>
      <c r="O843" s="78">
        <v>8</v>
      </c>
      <c r="P843" s="79">
        <v>0</v>
      </c>
    </row>
    <row r="844" spans="1:16" ht="12.75">
      <c r="A844" s="83">
        <v>38142</v>
      </c>
      <c r="B844" s="80">
        <v>0.7083333333333334</v>
      </c>
      <c r="C844" s="78">
        <v>19</v>
      </c>
      <c r="D844" s="79">
        <v>3</v>
      </c>
      <c r="G844" s="83">
        <v>38142</v>
      </c>
      <c r="H844" s="80">
        <v>0.7083333333333334</v>
      </c>
      <c r="I844" s="78">
        <v>32</v>
      </c>
      <c r="J844" s="79">
        <v>0</v>
      </c>
      <c r="M844" s="83">
        <v>38142</v>
      </c>
      <c r="N844" s="80">
        <v>0.7083333333333334</v>
      </c>
      <c r="O844" s="78">
        <v>6</v>
      </c>
      <c r="P844" s="79">
        <v>0</v>
      </c>
    </row>
    <row r="845" spans="1:16" ht="12.75">
      <c r="A845" s="83">
        <v>38142</v>
      </c>
      <c r="B845" s="80">
        <v>0.75</v>
      </c>
      <c r="C845" s="78">
        <v>23</v>
      </c>
      <c r="D845" s="79">
        <v>3</v>
      </c>
      <c r="G845" s="83">
        <v>38142</v>
      </c>
      <c r="H845" s="80">
        <v>0.75</v>
      </c>
      <c r="I845" s="78">
        <v>32</v>
      </c>
      <c r="J845" s="79">
        <v>0</v>
      </c>
      <c r="M845" s="83">
        <v>38142</v>
      </c>
      <c r="N845" s="80">
        <v>0.75</v>
      </c>
      <c r="O845" s="78">
        <v>6</v>
      </c>
      <c r="P845" s="79">
        <v>0</v>
      </c>
    </row>
    <row r="846" spans="1:16" ht="12.75">
      <c r="A846" s="83">
        <v>38142</v>
      </c>
      <c r="B846" s="80">
        <v>0.7916666666666666</v>
      </c>
      <c r="C846" s="78">
        <v>17</v>
      </c>
      <c r="D846" s="79">
        <v>3</v>
      </c>
      <c r="G846" s="83">
        <v>38142</v>
      </c>
      <c r="H846" s="80">
        <v>0.7916666666666666</v>
      </c>
      <c r="I846" s="78">
        <v>29</v>
      </c>
      <c r="J846" s="79">
        <v>0</v>
      </c>
      <c r="M846" s="83">
        <v>38142</v>
      </c>
      <c r="N846" s="80">
        <v>0.7916666666666666</v>
      </c>
      <c r="O846" s="78">
        <v>10</v>
      </c>
      <c r="P846" s="79">
        <v>0</v>
      </c>
    </row>
    <row r="847" spans="1:16" ht="12.75">
      <c r="A847" s="83">
        <v>38142</v>
      </c>
      <c r="B847" s="80">
        <v>0.8333333333333334</v>
      </c>
      <c r="C847" s="78">
        <v>21</v>
      </c>
      <c r="D847" s="79">
        <v>3</v>
      </c>
      <c r="G847" s="83">
        <v>38142</v>
      </c>
      <c r="H847" s="80">
        <v>0.8333333333333334</v>
      </c>
      <c r="I847" s="78">
        <v>29</v>
      </c>
      <c r="J847" s="79">
        <v>0</v>
      </c>
      <c r="M847" s="83">
        <v>38142</v>
      </c>
      <c r="N847" s="80">
        <v>0.8333333333333334</v>
      </c>
      <c r="O847" s="78">
        <v>10</v>
      </c>
      <c r="P847" s="79">
        <v>0</v>
      </c>
    </row>
    <row r="848" spans="1:16" ht="12.75">
      <c r="A848" s="83">
        <v>38142</v>
      </c>
      <c r="B848" s="80">
        <v>0.875</v>
      </c>
      <c r="C848" s="78">
        <v>21</v>
      </c>
      <c r="D848" s="79">
        <v>3</v>
      </c>
      <c r="G848" s="83">
        <v>38142</v>
      </c>
      <c r="H848" s="80">
        <v>0.875</v>
      </c>
      <c r="I848" s="78">
        <v>27</v>
      </c>
      <c r="J848" s="79">
        <v>0</v>
      </c>
      <c r="M848" s="83">
        <v>38142</v>
      </c>
      <c r="N848" s="80">
        <v>0.875</v>
      </c>
      <c r="O848" s="78">
        <v>11</v>
      </c>
      <c r="P848" s="79">
        <v>0</v>
      </c>
    </row>
    <row r="849" spans="1:16" ht="12.75">
      <c r="A849" s="83">
        <v>38142</v>
      </c>
      <c r="B849" s="80">
        <v>0.9166666666666666</v>
      </c>
      <c r="C849" s="78">
        <v>29</v>
      </c>
      <c r="D849" s="79">
        <v>5</v>
      </c>
      <c r="G849" s="83">
        <v>38142</v>
      </c>
      <c r="H849" s="80">
        <v>0.9166666666666666</v>
      </c>
      <c r="I849" s="78">
        <v>34</v>
      </c>
      <c r="J849" s="79">
        <v>0</v>
      </c>
      <c r="M849" s="83">
        <v>38142</v>
      </c>
      <c r="N849" s="80">
        <v>0.9166666666666666</v>
      </c>
      <c r="O849" s="78">
        <v>15</v>
      </c>
      <c r="P849" s="79">
        <v>0</v>
      </c>
    </row>
    <row r="850" spans="1:16" ht="12.75">
      <c r="A850" s="83">
        <v>38142</v>
      </c>
      <c r="B850" s="80">
        <v>0.9583333333333334</v>
      </c>
      <c r="C850" s="78">
        <v>25</v>
      </c>
      <c r="D850" s="79">
        <v>5</v>
      </c>
      <c r="G850" s="83">
        <v>38142</v>
      </c>
      <c r="H850" s="80">
        <v>0.9583333333333334</v>
      </c>
      <c r="I850" s="78">
        <v>29</v>
      </c>
      <c r="J850" s="79">
        <v>0</v>
      </c>
      <c r="M850" s="83">
        <v>38142</v>
      </c>
      <c r="N850" s="80">
        <v>0.9583333333333334</v>
      </c>
      <c r="O850" s="78">
        <v>21</v>
      </c>
      <c r="P850" s="79">
        <v>0</v>
      </c>
    </row>
    <row r="851" spans="1:16" ht="12.75">
      <c r="A851" s="83">
        <v>38142</v>
      </c>
      <c r="B851" s="81">
        <v>1</v>
      </c>
      <c r="C851" s="78">
        <v>21</v>
      </c>
      <c r="D851" s="79">
        <v>3</v>
      </c>
      <c r="G851" s="83">
        <v>38142</v>
      </c>
      <c r="H851" s="81">
        <v>1</v>
      </c>
      <c r="I851" s="78">
        <v>21</v>
      </c>
      <c r="J851" s="79">
        <v>0</v>
      </c>
      <c r="M851" s="83">
        <v>38142</v>
      </c>
      <c r="N851" s="81">
        <v>1</v>
      </c>
      <c r="O851" s="78">
        <v>15</v>
      </c>
      <c r="P851" s="79">
        <v>0</v>
      </c>
    </row>
    <row r="852" spans="1:16" s="92" customFormat="1" ht="12.75">
      <c r="A852" s="90">
        <v>38143</v>
      </c>
      <c r="B852" s="91">
        <v>0.041666666666666664</v>
      </c>
      <c r="C852" s="92">
        <v>17</v>
      </c>
      <c r="D852" s="92">
        <v>3</v>
      </c>
      <c r="G852" s="90">
        <v>38143</v>
      </c>
      <c r="H852" s="91">
        <v>0.041666666666666664</v>
      </c>
      <c r="I852" s="92">
        <v>15</v>
      </c>
      <c r="J852" s="92">
        <v>0</v>
      </c>
      <c r="M852" s="90">
        <v>38143</v>
      </c>
      <c r="N852" s="91">
        <v>0.041666666666666664</v>
      </c>
      <c r="O852" s="92">
        <v>10</v>
      </c>
      <c r="P852" s="92">
        <v>0</v>
      </c>
    </row>
    <row r="853" spans="1:16" ht="12.75">
      <c r="A853" s="83">
        <v>38143</v>
      </c>
      <c r="B853" s="80">
        <v>0.08333333333333333</v>
      </c>
      <c r="C853" s="78">
        <v>19</v>
      </c>
      <c r="D853" s="79">
        <v>3</v>
      </c>
      <c r="G853" s="83">
        <v>38143</v>
      </c>
      <c r="H853" s="80">
        <v>0.08333333333333333</v>
      </c>
      <c r="I853" s="78">
        <v>19</v>
      </c>
      <c r="J853" s="79">
        <v>0</v>
      </c>
      <c r="M853" s="83">
        <v>38143</v>
      </c>
      <c r="N853" s="80">
        <v>0.08333333333333333</v>
      </c>
      <c r="O853" s="78">
        <v>11</v>
      </c>
      <c r="P853" s="79">
        <v>0</v>
      </c>
    </row>
    <row r="854" spans="1:16" ht="12.75">
      <c r="A854" s="83">
        <v>38143</v>
      </c>
      <c r="B854" s="80">
        <v>0.125</v>
      </c>
      <c r="C854" s="78">
        <v>17</v>
      </c>
      <c r="D854" s="79">
        <v>3</v>
      </c>
      <c r="G854" s="83">
        <v>38143</v>
      </c>
      <c r="H854" s="80">
        <v>0.125</v>
      </c>
      <c r="I854" s="78">
        <v>15</v>
      </c>
      <c r="J854" s="79">
        <v>0</v>
      </c>
      <c r="M854" s="83">
        <v>38143</v>
      </c>
      <c r="N854" s="80">
        <v>0.125</v>
      </c>
      <c r="O854" s="78">
        <v>11</v>
      </c>
      <c r="P854" s="79">
        <v>0</v>
      </c>
    </row>
    <row r="855" spans="1:16" ht="12.75">
      <c r="A855" s="83">
        <v>38143</v>
      </c>
      <c r="B855" s="80">
        <v>0.16666666666666666</v>
      </c>
      <c r="C855" s="78">
        <v>13</v>
      </c>
      <c r="D855" s="79">
        <v>3</v>
      </c>
      <c r="G855" s="83">
        <v>38143</v>
      </c>
      <c r="H855" s="80">
        <v>0.16666666666666666</v>
      </c>
      <c r="I855" s="78">
        <v>11</v>
      </c>
      <c r="J855" s="79">
        <v>0</v>
      </c>
      <c r="M855" s="83">
        <v>38143</v>
      </c>
      <c r="N855" s="80">
        <v>0.16666666666666666</v>
      </c>
      <c r="O855" s="78">
        <v>13</v>
      </c>
      <c r="P855" s="79">
        <v>0</v>
      </c>
    </row>
    <row r="856" spans="1:16" ht="12.75">
      <c r="A856" s="83">
        <v>38143</v>
      </c>
      <c r="B856" s="80">
        <v>0.20833333333333334</v>
      </c>
      <c r="C856" s="78">
        <v>13</v>
      </c>
      <c r="D856" s="79">
        <v>3</v>
      </c>
      <c r="G856" s="83">
        <v>38143</v>
      </c>
      <c r="H856" s="80">
        <v>0.20833333333333334</v>
      </c>
      <c r="I856" s="78">
        <v>13</v>
      </c>
      <c r="J856" s="79">
        <v>0</v>
      </c>
      <c r="M856" s="83">
        <v>38143</v>
      </c>
      <c r="N856" s="80">
        <v>0.20833333333333334</v>
      </c>
      <c r="O856" s="78">
        <v>17</v>
      </c>
      <c r="P856" s="79">
        <v>0</v>
      </c>
    </row>
    <row r="857" spans="1:16" ht="12.75">
      <c r="A857" s="83">
        <v>38143</v>
      </c>
      <c r="B857" s="80">
        <v>0.25</v>
      </c>
      <c r="C857" s="78">
        <v>11</v>
      </c>
      <c r="D857" s="79">
        <v>0</v>
      </c>
      <c r="G857" s="83">
        <v>38143</v>
      </c>
      <c r="H857" s="80">
        <v>0.25</v>
      </c>
      <c r="I857" s="78">
        <v>11</v>
      </c>
      <c r="J857" s="79">
        <v>0</v>
      </c>
      <c r="M857" s="83">
        <v>38143</v>
      </c>
      <c r="N857" s="80">
        <v>0.25</v>
      </c>
      <c r="O857" s="78">
        <v>13</v>
      </c>
      <c r="P857" s="79">
        <v>0</v>
      </c>
    </row>
    <row r="858" spans="1:16" ht="12.75">
      <c r="A858" s="83">
        <v>38143</v>
      </c>
      <c r="B858" s="80">
        <v>0.2916666666666667</v>
      </c>
      <c r="C858" s="78">
        <v>11</v>
      </c>
      <c r="D858" s="79">
        <v>3</v>
      </c>
      <c r="G858" s="83">
        <v>38143</v>
      </c>
      <c r="H858" s="80">
        <v>0.2916666666666667</v>
      </c>
      <c r="I858" s="78">
        <v>17</v>
      </c>
      <c r="J858" s="79">
        <v>0</v>
      </c>
      <c r="M858" s="83">
        <v>38143</v>
      </c>
      <c r="N858" s="80">
        <v>0.2916666666666667</v>
      </c>
      <c r="O858" s="78">
        <v>11</v>
      </c>
      <c r="P858" s="79">
        <v>0</v>
      </c>
    </row>
    <row r="859" spans="1:16" ht="12.75">
      <c r="A859" s="83">
        <v>38143</v>
      </c>
      <c r="B859" s="80">
        <v>0.3333333333333333</v>
      </c>
      <c r="C859" s="78">
        <v>15</v>
      </c>
      <c r="D859" s="79">
        <v>3</v>
      </c>
      <c r="G859" s="83">
        <v>38143</v>
      </c>
      <c r="H859" s="80">
        <v>0.3333333333333333</v>
      </c>
      <c r="I859" s="78">
        <v>21</v>
      </c>
      <c r="J859" s="79">
        <v>0</v>
      </c>
      <c r="M859" s="83">
        <v>38143</v>
      </c>
      <c r="N859" s="80">
        <v>0.3333333333333333</v>
      </c>
      <c r="O859" s="78">
        <v>10</v>
      </c>
      <c r="P859" s="79">
        <v>0</v>
      </c>
    </row>
    <row r="860" spans="1:16" ht="12.75">
      <c r="A860" s="83">
        <v>38143</v>
      </c>
      <c r="B860" s="80">
        <v>0.375</v>
      </c>
      <c r="C860" s="78">
        <v>15</v>
      </c>
      <c r="D860" s="79">
        <v>3</v>
      </c>
      <c r="G860" s="83">
        <v>38143</v>
      </c>
      <c r="H860" s="80">
        <v>0.375</v>
      </c>
      <c r="I860" s="78">
        <v>23</v>
      </c>
      <c r="J860" s="79">
        <v>0</v>
      </c>
      <c r="M860" s="83">
        <v>38143</v>
      </c>
      <c r="N860" s="80">
        <v>0.375</v>
      </c>
      <c r="O860" s="78">
        <v>11</v>
      </c>
      <c r="P860" s="79">
        <v>0</v>
      </c>
    </row>
    <row r="861" spans="1:16" ht="12.75">
      <c r="A861" s="83">
        <v>38143</v>
      </c>
      <c r="B861" s="80">
        <v>0.4166666666666667</v>
      </c>
      <c r="C861" s="78">
        <v>29</v>
      </c>
      <c r="D861" s="79">
        <v>3</v>
      </c>
      <c r="G861" s="83">
        <v>38143</v>
      </c>
      <c r="H861" s="80">
        <v>0.4166666666666667</v>
      </c>
      <c r="I861" s="78">
        <v>23</v>
      </c>
      <c r="J861" s="79">
        <v>0</v>
      </c>
      <c r="M861" s="83">
        <v>38143</v>
      </c>
      <c r="N861" s="80">
        <v>0.4166666666666667</v>
      </c>
      <c r="O861" s="78">
        <v>11</v>
      </c>
      <c r="P861" s="79">
        <v>0</v>
      </c>
    </row>
    <row r="862" spans="1:16" ht="12.75">
      <c r="A862" s="83">
        <v>38143</v>
      </c>
      <c r="B862" s="80">
        <v>0.4583333333333333</v>
      </c>
      <c r="C862" s="78">
        <v>32</v>
      </c>
      <c r="D862" s="79">
        <v>3</v>
      </c>
      <c r="G862" s="83">
        <v>38143</v>
      </c>
      <c r="H862" s="80">
        <v>0.4583333333333333</v>
      </c>
      <c r="I862" s="78">
        <v>19</v>
      </c>
      <c r="J862" s="79">
        <v>0</v>
      </c>
      <c r="M862" s="83">
        <v>38143</v>
      </c>
      <c r="N862" s="80">
        <v>0.4583333333333333</v>
      </c>
      <c r="O862" s="78">
        <v>10</v>
      </c>
      <c r="P862" s="79">
        <v>0</v>
      </c>
    </row>
    <row r="863" spans="1:16" ht="12.75">
      <c r="A863" s="83">
        <v>38143</v>
      </c>
      <c r="B863" s="80">
        <v>0.5</v>
      </c>
      <c r="C863" s="78">
        <v>25</v>
      </c>
      <c r="D863" s="79">
        <v>3</v>
      </c>
      <c r="G863" s="83">
        <v>38143</v>
      </c>
      <c r="H863" s="80">
        <v>0.5</v>
      </c>
      <c r="I863" s="78">
        <v>23</v>
      </c>
      <c r="J863" s="79">
        <v>0</v>
      </c>
      <c r="M863" s="83">
        <v>38143</v>
      </c>
      <c r="N863" s="80">
        <v>0.5</v>
      </c>
      <c r="O863" s="78">
        <v>10</v>
      </c>
      <c r="P863" s="79">
        <v>0</v>
      </c>
    </row>
    <row r="864" spans="1:16" ht="12.75">
      <c r="A864" s="83">
        <v>38143</v>
      </c>
      <c r="B864" s="80">
        <v>0.5416666666666666</v>
      </c>
      <c r="C864" s="78">
        <v>27</v>
      </c>
      <c r="D864" s="79">
        <v>3</v>
      </c>
      <c r="G864" s="83">
        <v>38143</v>
      </c>
      <c r="H864" s="80">
        <v>0.5416666666666666</v>
      </c>
      <c r="I864" s="78">
        <v>21</v>
      </c>
      <c r="J864" s="79">
        <v>0</v>
      </c>
      <c r="M864" s="83">
        <v>38143</v>
      </c>
      <c r="N864" s="80">
        <v>0.5416666666666666</v>
      </c>
      <c r="O864" s="78">
        <v>10</v>
      </c>
      <c r="P864" s="79">
        <v>0</v>
      </c>
    </row>
    <row r="865" spans="1:16" ht="12.75">
      <c r="A865" s="83">
        <v>38143</v>
      </c>
      <c r="B865" s="80">
        <v>0.5833333333333334</v>
      </c>
      <c r="C865" s="78">
        <v>32</v>
      </c>
      <c r="D865" s="79">
        <v>3</v>
      </c>
      <c r="G865" s="83">
        <v>38143</v>
      </c>
      <c r="H865" s="80">
        <v>0.5833333333333334</v>
      </c>
      <c r="I865" s="78">
        <v>23</v>
      </c>
      <c r="J865" s="79">
        <v>0</v>
      </c>
      <c r="M865" s="83">
        <v>38143</v>
      </c>
      <c r="N865" s="80">
        <v>0.5833333333333334</v>
      </c>
      <c r="O865" s="78">
        <v>8</v>
      </c>
      <c r="P865" s="79">
        <v>0</v>
      </c>
    </row>
    <row r="866" spans="1:16" ht="12.75">
      <c r="A866" s="83">
        <v>38143</v>
      </c>
      <c r="B866" s="80">
        <v>0.625</v>
      </c>
      <c r="C866" s="78">
        <v>34</v>
      </c>
      <c r="D866" s="79">
        <v>3</v>
      </c>
      <c r="G866" s="83">
        <v>38143</v>
      </c>
      <c r="H866" s="80">
        <v>0.625</v>
      </c>
      <c r="I866" s="78">
        <v>19</v>
      </c>
      <c r="J866" s="79">
        <v>0</v>
      </c>
      <c r="M866" s="83">
        <v>38143</v>
      </c>
      <c r="N866" s="80">
        <v>0.625</v>
      </c>
      <c r="O866" s="78">
        <v>10</v>
      </c>
      <c r="P866" s="79">
        <v>3</v>
      </c>
    </row>
    <row r="867" spans="1:16" ht="12.75">
      <c r="A867" s="83">
        <v>38143</v>
      </c>
      <c r="B867" s="80">
        <v>0.6666666666666666</v>
      </c>
      <c r="C867" s="78">
        <v>23</v>
      </c>
      <c r="D867" s="79">
        <v>3</v>
      </c>
      <c r="G867" s="83">
        <v>38143</v>
      </c>
      <c r="H867" s="80">
        <v>0.6666666666666666</v>
      </c>
      <c r="I867" s="78">
        <v>19</v>
      </c>
      <c r="J867" s="79">
        <v>0</v>
      </c>
      <c r="M867" s="83">
        <v>38143</v>
      </c>
      <c r="N867" s="80">
        <v>0.6666666666666666</v>
      </c>
      <c r="O867" s="78">
        <v>10</v>
      </c>
      <c r="P867" s="79">
        <v>0</v>
      </c>
    </row>
    <row r="868" spans="1:16" ht="12.75">
      <c r="A868" s="83">
        <v>38143</v>
      </c>
      <c r="B868" s="80">
        <v>0.7083333333333334</v>
      </c>
      <c r="C868" s="78">
        <v>13</v>
      </c>
      <c r="D868" s="79">
        <v>3</v>
      </c>
      <c r="G868" s="83">
        <v>38143</v>
      </c>
      <c r="H868" s="80">
        <v>0.7083333333333334</v>
      </c>
      <c r="I868" s="78">
        <v>21</v>
      </c>
      <c r="J868" s="79">
        <v>0</v>
      </c>
      <c r="M868" s="83">
        <v>38143</v>
      </c>
      <c r="N868" s="80">
        <v>0.7083333333333334</v>
      </c>
      <c r="O868" s="78">
        <v>10</v>
      </c>
      <c r="P868" s="79">
        <v>0</v>
      </c>
    </row>
    <row r="869" spans="1:16" ht="12.75">
      <c r="A869" s="83">
        <v>38143</v>
      </c>
      <c r="B869" s="80">
        <v>0.75</v>
      </c>
      <c r="C869" s="78">
        <v>11</v>
      </c>
      <c r="D869" s="79">
        <v>3</v>
      </c>
      <c r="G869" s="83">
        <v>38143</v>
      </c>
      <c r="H869" s="80">
        <v>0.75</v>
      </c>
      <c r="I869" s="78">
        <v>23</v>
      </c>
      <c r="J869" s="79">
        <v>0</v>
      </c>
      <c r="M869" s="83">
        <v>38143</v>
      </c>
      <c r="N869" s="80">
        <v>0.75</v>
      </c>
      <c r="O869" s="78">
        <v>11</v>
      </c>
      <c r="P869" s="79">
        <v>0</v>
      </c>
    </row>
    <row r="870" spans="1:16" ht="12.75">
      <c r="A870" s="83">
        <v>38143</v>
      </c>
      <c r="B870" s="80">
        <v>0.7916666666666666</v>
      </c>
      <c r="C870" s="78">
        <v>11</v>
      </c>
      <c r="D870" s="79">
        <v>3</v>
      </c>
      <c r="G870" s="83">
        <v>38143</v>
      </c>
      <c r="H870" s="80">
        <v>0.7916666666666666</v>
      </c>
      <c r="I870" s="78">
        <v>21</v>
      </c>
      <c r="J870" s="79">
        <v>0</v>
      </c>
      <c r="M870" s="83">
        <v>38143</v>
      </c>
      <c r="N870" s="80">
        <v>0.7916666666666666</v>
      </c>
      <c r="O870" s="78">
        <v>15</v>
      </c>
      <c r="P870" s="79">
        <v>0</v>
      </c>
    </row>
    <row r="871" spans="1:16" ht="12.75">
      <c r="A871" s="83">
        <v>38143</v>
      </c>
      <c r="B871" s="80">
        <v>0.8333333333333334</v>
      </c>
      <c r="C871" s="78">
        <v>17</v>
      </c>
      <c r="D871" s="79">
        <v>3</v>
      </c>
      <c r="G871" s="83">
        <v>38143</v>
      </c>
      <c r="H871" s="80">
        <v>0.8333333333333334</v>
      </c>
      <c r="I871" s="78">
        <v>21</v>
      </c>
      <c r="J871" s="79">
        <v>0</v>
      </c>
      <c r="M871" s="83">
        <v>38143</v>
      </c>
      <c r="N871" s="80">
        <v>0.8333333333333334</v>
      </c>
      <c r="O871" s="78">
        <v>19</v>
      </c>
      <c r="P871" s="79">
        <v>3</v>
      </c>
    </row>
    <row r="872" spans="1:16" ht="12.75">
      <c r="A872" s="83">
        <v>38143</v>
      </c>
      <c r="B872" s="80">
        <v>0.875</v>
      </c>
      <c r="C872" s="78">
        <v>23</v>
      </c>
      <c r="D872" s="79">
        <v>3</v>
      </c>
      <c r="G872" s="83">
        <v>38143</v>
      </c>
      <c r="H872" s="80">
        <v>0.875</v>
      </c>
      <c r="I872" s="78">
        <v>23</v>
      </c>
      <c r="J872" s="79">
        <v>0</v>
      </c>
      <c r="M872" s="83">
        <v>38143</v>
      </c>
      <c r="N872" s="80">
        <v>0.875</v>
      </c>
      <c r="O872" s="78">
        <v>32</v>
      </c>
      <c r="P872" s="79">
        <v>0</v>
      </c>
    </row>
    <row r="873" spans="1:16" ht="12.75">
      <c r="A873" s="83">
        <v>38143</v>
      </c>
      <c r="B873" s="80">
        <v>0.9166666666666666</v>
      </c>
      <c r="C873" s="78">
        <v>25</v>
      </c>
      <c r="D873" s="79">
        <v>5</v>
      </c>
      <c r="G873" s="83">
        <v>38143</v>
      </c>
      <c r="H873" s="80">
        <v>0.9166666666666666</v>
      </c>
      <c r="I873" s="78">
        <v>23</v>
      </c>
      <c r="J873" s="79">
        <v>0</v>
      </c>
      <c r="M873" s="83">
        <v>38143</v>
      </c>
      <c r="N873" s="80">
        <v>0.9166666666666666</v>
      </c>
      <c r="O873" s="78">
        <v>36</v>
      </c>
      <c r="P873" s="79">
        <v>3</v>
      </c>
    </row>
    <row r="874" spans="1:16" ht="12.75">
      <c r="A874" s="83">
        <v>38143</v>
      </c>
      <c r="B874" s="80">
        <v>0.9583333333333334</v>
      </c>
      <c r="C874" s="78">
        <v>27</v>
      </c>
      <c r="D874" s="79">
        <v>5</v>
      </c>
      <c r="G874" s="83">
        <v>38143</v>
      </c>
      <c r="H874" s="80">
        <v>0.9583333333333334</v>
      </c>
      <c r="I874" s="78">
        <v>19</v>
      </c>
      <c r="J874" s="79">
        <v>0</v>
      </c>
      <c r="M874" s="83">
        <v>38143</v>
      </c>
      <c r="N874" s="80">
        <v>0.9583333333333334</v>
      </c>
      <c r="O874" s="78">
        <v>42</v>
      </c>
      <c r="P874" s="79">
        <v>5</v>
      </c>
    </row>
    <row r="875" spans="1:16" ht="12.75">
      <c r="A875" s="83">
        <v>38143</v>
      </c>
      <c r="B875" s="81">
        <v>1</v>
      </c>
      <c r="C875" s="78">
        <v>27</v>
      </c>
      <c r="D875" s="79">
        <v>3</v>
      </c>
      <c r="G875" s="83">
        <v>38143</v>
      </c>
      <c r="H875" s="81">
        <v>1</v>
      </c>
      <c r="I875" s="78">
        <v>13</v>
      </c>
      <c r="J875" s="79">
        <v>0</v>
      </c>
      <c r="M875" s="83">
        <v>38143</v>
      </c>
      <c r="N875" s="81">
        <v>1</v>
      </c>
      <c r="O875" s="78">
        <v>36</v>
      </c>
      <c r="P875" s="79">
        <v>5</v>
      </c>
    </row>
    <row r="876" spans="1:16" s="92" customFormat="1" ht="12.75">
      <c r="A876" s="90">
        <v>38144</v>
      </c>
      <c r="B876" s="91">
        <v>0.041666666666666664</v>
      </c>
      <c r="C876" s="92">
        <v>29</v>
      </c>
      <c r="D876" s="92">
        <v>5</v>
      </c>
      <c r="G876" s="90">
        <v>38144</v>
      </c>
      <c r="H876" s="91">
        <v>0.041666666666666664</v>
      </c>
      <c r="I876" s="92">
        <v>11</v>
      </c>
      <c r="J876" s="92">
        <v>0</v>
      </c>
      <c r="M876" s="90">
        <v>38144</v>
      </c>
      <c r="N876" s="91">
        <v>0.041666666666666664</v>
      </c>
      <c r="O876" s="92">
        <v>46</v>
      </c>
      <c r="P876" s="92">
        <v>5</v>
      </c>
    </row>
    <row r="877" spans="1:16" ht="12.75">
      <c r="A877" s="83">
        <v>38144</v>
      </c>
      <c r="B877" s="80">
        <v>0.08333333333333333</v>
      </c>
      <c r="C877" s="78">
        <v>29</v>
      </c>
      <c r="D877" s="79">
        <v>5</v>
      </c>
      <c r="G877" s="83">
        <v>38144</v>
      </c>
      <c r="H877" s="80">
        <v>0.08333333333333333</v>
      </c>
      <c r="I877" s="78">
        <v>10</v>
      </c>
      <c r="J877" s="79">
        <v>0</v>
      </c>
      <c r="M877" s="83">
        <v>38144</v>
      </c>
      <c r="N877" s="80">
        <v>0.08333333333333333</v>
      </c>
      <c r="O877" s="78">
        <v>40</v>
      </c>
      <c r="P877" s="79">
        <v>3</v>
      </c>
    </row>
    <row r="878" spans="1:16" ht="12.75">
      <c r="A878" s="83">
        <v>38144</v>
      </c>
      <c r="B878" s="80">
        <v>0.125</v>
      </c>
      <c r="C878" s="78">
        <v>29</v>
      </c>
      <c r="D878" s="79">
        <v>5</v>
      </c>
      <c r="G878" s="83">
        <v>38144</v>
      </c>
      <c r="H878" s="80">
        <v>0.125</v>
      </c>
      <c r="I878" s="78">
        <v>8</v>
      </c>
      <c r="J878" s="79">
        <v>0</v>
      </c>
      <c r="M878" s="83">
        <v>38144</v>
      </c>
      <c r="N878" s="80">
        <v>0.125</v>
      </c>
      <c r="O878" s="78">
        <v>31</v>
      </c>
      <c r="P878" s="79">
        <v>3</v>
      </c>
    </row>
    <row r="879" spans="1:16" ht="12.75">
      <c r="A879" s="83">
        <v>38144</v>
      </c>
      <c r="B879" s="80">
        <v>0.16666666666666666</v>
      </c>
      <c r="C879" s="78">
        <v>19</v>
      </c>
      <c r="D879" s="79">
        <v>3</v>
      </c>
      <c r="G879" s="83">
        <v>38144</v>
      </c>
      <c r="H879" s="80">
        <v>0.16666666666666666</v>
      </c>
      <c r="I879" s="78">
        <v>11</v>
      </c>
      <c r="J879" s="79">
        <v>0</v>
      </c>
      <c r="M879" s="83">
        <v>38144</v>
      </c>
      <c r="N879" s="80">
        <v>0.16666666666666666</v>
      </c>
      <c r="O879" s="78">
        <v>31</v>
      </c>
      <c r="P879" s="79">
        <v>3</v>
      </c>
    </row>
    <row r="880" spans="1:16" ht="12.75">
      <c r="A880" s="83">
        <v>38144</v>
      </c>
      <c r="B880" s="80">
        <v>0.20833333333333334</v>
      </c>
      <c r="C880" s="78">
        <v>15</v>
      </c>
      <c r="D880" s="79">
        <v>3</v>
      </c>
      <c r="G880" s="83">
        <v>38144</v>
      </c>
      <c r="H880" s="80">
        <v>0.20833333333333334</v>
      </c>
      <c r="I880" s="78">
        <v>6</v>
      </c>
      <c r="J880" s="79">
        <v>0</v>
      </c>
      <c r="M880" s="83">
        <v>38144</v>
      </c>
      <c r="N880" s="80">
        <v>0.20833333333333334</v>
      </c>
      <c r="O880" s="78">
        <v>34</v>
      </c>
      <c r="P880" s="79">
        <v>3</v>
      </c>
    </row>
    <row r="881" spans="1:16" ht="12.75">
      <c r="A881" s="83">
        <v>38144</v>
      </c>
      <c r="B881" s="80">
        <v>0.25</v>
      </c>
      <c r="C881" s="78">
        <v>13</v>
      </c>
      <c r="D881" s="79">
        <v>3</v>
      </c>
      <c r="G881" s="83">
        <v>38144</v>
      </c>
      <c r="H881" s="80">
        <v>0.25</v>
      </c>
      <c r="I881" s="78">
        <v>8</v>
      </c>
      <c r="J881" s="79">
        <v>0</v>
      </c>
      <c r="M881" s="83">
        <v>38144</v>
      </c>
      <c r="N881" s="80">
        <v>0.25</v>
      </c>
      <c r="O881" s="78">
        <v>32</v>
      </c>
      <c r="P881" s="79">
        <v>3</v>
      </c>
    </row>
    <row r="882" spans="1:16" ht="12.75">
      <c r="A882" s="83">
        <v>38144</v>
      </c>
      <c r="B882" s="80">
        <v>0.2916666666666667</v>
      </c>
      <c r="C882" s="78">
        <v>19</v>
      </c>
      <c r="D882" s="79">
        <v>5</v>
      </c>
      <c r="G882" s="83">
        <v>38144</v>
      </c>
      <c r="H882" s="80">
        <v>0.2916666666666667</v>
      </c>
      <c r="I882" s="78">
        <v>8</v>
      </c>
      <c r="J882" s="79">
        <v>0</v>
      </c>
      <c r="M882" s="83">
        <v>38144</v>
      </c>
      <c r="N882" s="80">
        <v>0.2916666666666667</v>
      </c>
      <c r="O882" s="78">
        <v>31</v>
      </c>
      <c r="P882" s="79">
        <v>5</v>
      </c>
    </row>
    <row r="883" spans="1:16" ht="12.75">
      <c r="A883" s="83">
        <v>38144</v>
      </c>
      <c r="B883" s="80">
        <v>0.3333333333333333</v>
      </c>
      <c r="C883" s="78">
        <v>21</v>
      </c>
      <c r="D883" s="79">
        <v>8</v>
      </c>
      <c r="G883" s="83">
        <v>38144</v>
      </c>
      <c r="H883" s="80">
        <v>0.3333333333333333</v>
      </c>
      <c r="I883" s="78">
        <v>8</v>
      </c>
      <c r="J883" s="79">
        <v>0</v>
      </c>
      <c r="M883" s="83">
        <v>38144</v>
      </c>
      <c r="N883" s="80">
        <v>0.3333333333333333</v>
      </c>
      <c r="O883" s="78">
        <v>29</v>
      </c>
      <c r="P883" s="79">
        <v>3</v>
      </c>
    </row>
    <row r="884" spans="1:16" ht="12.75">
      <c r="A884" s="83">
        <v>38144</v>
      </c>
      <c r="B884" s="80">
        <v>0.375</v>
      </c>
      <c r="C884" s="78">
        <v>17</v>
      </c>
      <c r="D884" s="79">
        <v>3</v>
      </c>
      <c r="G884" s="83">
        <v>38144</v>
      </c>
      <c r="H884" s="80">
        <v>0.375</v>
      </c>
      <c r="I884" s="78">
        <v>8</v>
      </c>
      <c r="J884" s="79">
        <v>0</v>
      </c>
      <c r="M884" s="83">
        <v>38144</v>
      </c>
      <c r="N884" s="80">
        <v>0.375</v>
      </c>
      <c r="O884" s="78">
        <v>21</v>
      </c>
      <c r="P884" s="79">
        <v>3</v>
      </c>
    </row>
    <row r="885" spans="1:16" ht="12.75">
      <c r="A885" s="83">
        <v>38144</v>
      </c>
      <c r="B885" s="80">
        <v>0.4166666666666667</v>
      </c>
      <c r="C885" s="78">
        <v>11</v>
      </c>
      <c r="D885" s="79">
        <v>3</v>
      </c>
      <c r="G885" s="83">
        <v>38144</v>
      </c>
      <c r="H885" s="80">
        <v>0.4166666666666667</v>
      </c>
      <c r="I885" s="78">
        <v>6</v>
      </c>
      <c r="J885" s="79">
        <v>0</v>
      </c>
      <c r="M885" s="83">
        <v>38144</v>
      </c>
      <c r="N885" s="80">
        <v>0.4166666666666667</v>
      </c>
      <c r="O885" s="78">
        <v>27</v>
      </c>
      <c r="P885" s="79">
        <v>3</v>
      </c>
    </row>
    <row r="886" spans="1:16" ht="12.75">
      <c r="A886" s="83">
        <v>38144</v>
      </c>
      <c r="B886" s="80">
        <v>0.4583333333333333</v>
      </c>
      <c r="C886" s="78">
        <v>10</v>
      </c>
      <c r="D886" s="79">
        <v>3</v>
      </c>
      <c r="G886" s="83">
        <v>38144</v>
      </c>
      <c r="H886" s="80">
        <v>0.4583333333333333</v>
      </c>
      <c r="I886" s="78">
        <v>10</v>
      </c>
      <c r="J886" s="79">
        <v>0</v>
      </c>
      <c r="M886" s="83">
        <v>38144</v>
      </c>
      <c r="N886" s="80">
        <v>0.4583333333333333</v>
      </c>
      <c r="O886" s="78">
        <v>29</v>
      </c>
      <c r="P886" s="79">
        <v>3</v>
      </c>
    </row>
    <row r="887" spans="1:16" ht="12.75">
      <c r="A887" s="83">
        <v>38144</v>
      </c>
      <c r="B887" s="80">
        <v>0.5</v>
      </c>
      <c r="C887" s="78">
        <v>15</v>
      </c>
      <c r="D887" s="79">
        <v>3</v>
      </c>
      <c r="G887" s="83">
        <v>38144</v>
      </c>
      <c r="H887" s="80">
        <v>0.5</v>
      </c>
      <c r="I887" s="78">
        <v>11</v>
      </c>
      <c r="J887" s="79">
        <v>0</v>
      </c>
      <c r="M887" s="83">
        <v>38144</v>
      </c>
      <c r="N887" s="80">
        <v>0.5</v>
      </c>
      <c r="O887" s="78">
        <v>42</v>
      </c>
      <c r="P887" s="79">
        <v>3</v>
      </c>
    </row>
    <row r="888" spans="1:16" ht="12.75">
      <c r="A888" s="83">
        <v>38144</v>
      </c>
      <c r="B888" s="80">
        <v>0.5416666666666666</v>
      </c>
      <c r="C888" s="78">
        <v>10</v>
      </c>
      <c r="D888" s="79">
        <v>3</v>
      </c>
      <c r="G888" s="83">
        <v>38144</v>
      </c>
      <c r="H888" s="80">
        <v>0.5416666666666666</v>
      </c>
      <c r="I888" s="78">
        <v>15</v>
      </c>
      <c r="J888" s="79">
        <v>0</v>
      </c>
      <c r="M888" s="83">
        <v>38144</v>
      </c>
      <c r="N888" s="80">
        <v>0.5416666666666666</v>
      </c>
      <c r="O888" s="78">
        <v>34</v>
      </c>
      <c r="P888" s="79">
        <v>3</v>
      </c>
    </row>
    <row r="889" spans="1:16" ht="12.75">
      <c r="A889" s="83">
        <v>38144</v>
      </c>
      <c r="B889" s="80">
        <v>0.5833333333333334</v>
      </c>
      <c r="C889" s="78">
        <v>17</v>
      </c>
      <c r="D889" s="79">
        <v>3</v>
      </c>
      <c r="G889" s="83">
        <v>38144</v>
      </c>
      <c r="H889" s="80">
        <v>0.5833333333333334</v>
      </c>
      <c r="I889" s="78">
        <v>13</v>
      </c>
      <c r="J889" s="79">
        <v>0</v>
      </c>
      <c r="M889" s="83">
        <v>38144</v>
      </c>
      <c r="N889" s="80">
        <v>0.5833333333333334</v>
      </c>
      <c r="O889" s="78">
        <v>38</v>
      </c>
      <c r="P889" s="79">
        <v>3</v>
      </c>
    </row>
    <row r="890" spans="1:16" ht="12.75">
      <c r="A890" s="83">
        <v>38144</v>
      </c>
      <c r="B890" s="80">
        <v>0.625</v>
      </c>
      <c r="C890" s="78">
        <v>27</v>
      </c>
      <c r="D890" s="79">
        <v>3</v>
      </c>
      <c r="G890" s="83">
        <v>38144</v>
      </c>
      <c r="H890" s="80">
        <v>0.625</v>
      </c>
      <c r="I890" s="78">
        <v>11</v>
      </c>
      <c r="J890" s="79">
        <v>0</v>
      </c>
      <c r="M890" s="83">
        <v>38144</v>
      </c>
      <c r="N890" s="80">
        <v>0.625</v>
      </c>
      <c r="O890" s="78">
        <v>36</v>
      </c>
      <c r="P890" s="79">
        <v>3</v>
      </c>
    </row>
    <row r="891" spans="1:16" ht="12.75">
      <c r="A891" s="83">
        <v>38144</v>
      </c>
      <c r="B891" s="80">
        <v>0.6666666666666666</v>
      </c>
      <c r="C891" s="78">
        <v>11</v>
      </c>
      <c r="D891" s="79">
        <v>3</v>
      </c>
      <c r="G891" s="83">
        <v>38144</v>
      </c>
      <c r="H891" s="80">
        <v>0.6666666666666666</v>
      </c>
      <c r="I891" s="78">
        <v>13</v>
      </c>
      <c r="J891" s="79">
        <v>0</v>
      </c>
      <c r="M891" s="83">
        <v>38144</v>
      </c>
      <c r="N891" s="80">
        <v>0.6666666666666666</v>
      </c>
      <c r="O891" s="78">
        <v>52</v>
      </c>
      <c r="P891" s="79">
        <v>3</v>
      </c>
    </row>
    <row r="892" spans="1:16" ht="12.75">
      <c r="A892" s="83">
        <v>38144</v>
      </c>
      <c r="B892" s="80">
        <v>0.7083333333333334</v>
      </c>
      <c r="C892" s="78">
        <v>11</v>
      </c>
      <c r="D892" s="79">
        <v>3</v>
      </c>
      <c r="G892" s="83">
        <v>38144</v>
      </c>
      <c r="H892" s="80">
        <v>0.7083333333333334</v>
      </c>
      <c r="I892" s="78">
        <v>15</v>
      </c>
      <c r="J892" s="79">
        <v>0</v>
      </c>
      <c r="M892" s="83">
        <v>38144</v>
      </c>
      <c r="N892" s="80">
        <v>0.7083333333333334</v>
      </c>
      <c r="O892" s="78">
        <v>59</v>
      </c>
      <c r="P892" s="79">
        <v>5</v>
      </c>
    </row>
    <row r="893" spans="1:16" ht="12.75">
      <c r="A893" s="83">
        <v>38144</v>
      </c>
      <c r="B893" s="80">
        <v>0.75</v>
      </c>
      <c r="C893" s="78">
        <v>15</v>
      </c>
      <c r="D893" s="79">
        <v>3</v>
      </c>
      <c r="G893" s="83">
        <v>38144</v>
      </c>
      <c r="H893" s="80">
        <v>0.75</v>
      </c>
      <c r="I893" s="78">
        <v>17</v>
      </c>
      <c r="J893" s="79">
        <v>0</v>
      </c>
      <c r="M893" s="83">
        <v>38144</v>
      </c>
      <c r="N893" s="80">
        <v>0.75</v>
      </c>
      <c r="O893" s="78">
        <v>61</v>
      </c>
      <c r="P893" s="79">
        <v>3</v>
      </c>
    </row>
    <row r="894" spans="1:16" ht="12.75">
      <c r="A894" s="83">
        <v>38144</v>
      </c>
      <c r="B894" s="80">
        <v>0.7916666666666666</v>
      </c>
      <c r="C894" s="78">
        <v>27</v>
      </c>
      <c r="D894" s="79">
        <v>3</v>
      </c>
      <c r="G894" s="83">
        <v>38144</v>
      </c>
      <c r="H894" s="80">
        <v>0.7916666666666666</v>
      </c>
      <c r="I894" s="78">
        <v>19</v>
      </c>
      <c r="J894" s="79">
        <v>3</v>
      </c>
      <c r="M894" s="83">
        <v>38144</v>
      </c>
      <c r="N894" s="80">
        <v>0.7916666666666666</v>
      </c>
      <c r="O894" s="78">
        <v>71</v>
      </c>
      <c r="P894" s="79">
        <v>3</v>
      </c>
    </row>
    <row r="895" spans="1:16" ht="12.75">
      <c r="A895" s="83">
        <v>38144</v>
      </c>
      <c r="B895" s="80">
        <v>0.8333333333333334</v>
      </c>
      <c r="C895" s="78">
        <v>31</v>
      </c>
      <c r="D895" s="79">
        <v>3</v>
      </c>
      <c r="G895" s="83">
        <v>38144</v>
      </c>
      <c r="H895" s="80">
        <v>0.8333333333333334</v>
      </c>
      <c r="I895" s="78">
        <v>21</v>
      </c>
      <c r="J895" s="79">
        <v>0</v>
      </c>
      <c r="M895" s="83">
        <v>38144</v>
      </c>
      <c r="N895" s="80">
        <v>0.8333333333333334</v>
      </c>
      <c r="O895" s="78">
        <v>69</v>
      </c>
      <c r="P895" s="79">
        <v>3</v>
      </c>
    </row>
    <row r="896" spans="1:16" ht="12.75">
      <c r="A896" s="83">
        <v>38144</v>
      </c>
      <c r="B896" s="80">
        <v>0.875</v>
      </c>
      <c r="C896" s="78">
        <v>29</v>
      </c>
      <c r="D896" s="79">
        <v>3</v>
      </c>
      <c r="G896" s="83">
        <v>38144</v>
      </c>
      <c r="H896" s="80">
        <v>0.875</v>
      </c>
      <c r="I896" s="78">
        <v>23</v>
      </c>
      <c r="J896" s="79">
        <v>0</v>
      </c>
      <c r="M896" s="83">
        <v>38144</v>
      </c>
      <c r="N896" s="80">
        <v>0.875</v>
      </c>
      <c r="O896" s="78">
        <v>69</v>
      </c>
      <c r="P896" s="79">
        <v>3</v>
      </c>
    </row>
    <row r="897" spans="1:16" ht="12.75">
      <c r="A897" s="83">
        <v>38144</v>
      </c>
      <c r="B897" s="80">
        <v>0.9166666666666666</v>
      </c>
      <c r="C897" s="78">
        <v>32</v>
      </c>
      <c r="D897" s="79">
        <v>3</v>
      </c>
      <c r="G897" s="83">
        <v>38144</v>
      </c>
      <c r="H897" s="80">
        <v>0.9166666666666666</v>
      </c>
      <c r="I897" s="78">
        <v>27</v>
      </c>
      <c r="J897" s="79">
        <v>0</v>
      </c>
      <c r="M897" s="83">
        <v>38144</v>
      </c>
      <c r="N897" s="80">
        <v>0.9166666666666666</v>
      </c>
      <c r="O897" s="78">
        <v>73</v>
      </c>
      <c r="P897" s="79">
        <v>3</v>
      </c>
    </row>
    <row r="898" spans="1:16" ht="12.75">
      <c r="A898" s="83">
        <v>38144</v>
      </c>
      <c r="B898" s="80">
        <v>0.9583333333333334</v>
      </c>
      <c r="C898" s="78">
        <v>17</v>
      </c>
      <c r="D898" s="79">
        <v>3</v>
      </c>
      <c r="G898" s="83">
        <v>38144</v>
      </c>
      <c r="H898" s="80">
        <v>0.9583333333333334</v>
      </c>
      <c r="I898" s="78">
        <v>23</v>
      </c>
      <c r="J898" s="79">
        <v>0</v>
      </c>
      <c r="M898" s="83">
        <v>38144</v>
      </c>
      <c r="N898" s="80">
        <v>0.9583333333333334</v>
      </c>
      <c r="O898" s="78">
        <v>67</v>
      </c>
      <c r="P898" s="79">
        <v>3</v>
      </c>
    </row>
    <row r="899" spans="1:16" ht="12.75">
      <c r="A899" s="83">
        <v>38144</v>
      </c>
      <c r="B899" s="81">
        <v>1</v>
      </c>
      <c r="C899" s="78">
        <v>25</v>
      </c>
      <c r="D899" s="79">
        <v>3</v>
      </c>
      <c r="G899" s="83">
        <v>38144</v>
      </c>
      <c r="H899" s="81">
        <v>1</v>
      </c>
      <c r="I899" s="78">
        <v>15</v>
      </c>
      <c r="J899" s="79">
        <v>0</v>
      </c>
      <c r="M899" s="83">
        <v>38144</v>
      </c>
      <c r="N899" s="81">
        <v>1</v>
      </c>
      <c r="O899" s="78">
        <v>61</v>
      </c>
      <c r="P899" s="79">
        <v>3</v>
      </c>
    </row>
    <row r="900" spans="1:16" s="92" customFormat="1" ht="12.75">
      <c r="A900" s="90">
        <v>38145</v>
      </c>
      <c r="B900" s="91">
        <v>0.041666666666666664</v>
      </c>
      <c r="C900" s="92">
        <v>25</v>
      </c>
      <c r="D900" s="92">
        <v>8</v>
      </c>
      <c r="G900" s="90">
        <v>38145</v>
      </c>
      <c r="H900" s="91">
        <v>0.041666666666666664</v>
      </c>
      <c r="I900" s="92">
        <v>10</v>
      </c>
      <c r="J900" s="92">
        <v>0</v>
      </c>
      <c r="M900" s="90">
        <v>38145</v>
      </c>
      <c r="N900" s="91">
        <v>0.041666666666666664</v>
      </c>
      <c r="O900" s="92">
        <v>53</v>
      </c>
      <c r="P900" s="92">
        <v>3</v>
      </c>
    </row>
    <row r="901" spans="1:16" ht="12.75">
      <c r="A901" s="83">
        <v>38145</v>
      </c>
      <c r="B901" s="80">
        <v>0.08333333333333333</v>
      </c>
      <c r="C901" s="78">
        <v>17</v>
      </c>
      <c r="D901" s="79">
        <v>0</v>
      </c>
      <c r="G901" s="83">
        <v>38145</v>
      </c>
      <c r="H901" s="80">
        <v>0.08333333333333333</v>
      </c>
      <c r="I901" s="78">
        <v>8</v>
      </c>
      <c r="J901" s="79">
        <v>0</v>
      </c>
      <c r="M901" s="83">
        <v>38145</v>
      </c>
      <c r="N901" s="80">
        <v>0.08333333333333333</v>
      </c>
      <c r="O901" s="78">
        <v>61</v>
      </c>
      <c r="P901" s="79">
        <v>3</v>
      </c>
    </row>
    <row r="902" spans="1:16" ht="12.75">
      <c r="A902" s="83">
        <v>38145</v>
      </c>
      <c r="B902" s="80">
        <v>0.125</v>
      </c>
      <c r="C902" s="78">
        <v>17</v>
      </c>
      <c r="D902" s="79">
        <v>8</v>
      </c>
      <c r="G902" s="83">
        <v>38145</v>
      </c>
      <c r="H902" s="80">
        <v>0.125</v>
      </c>
      <c r="I902" s="78">
        <v>10</v>
      </c>
      <c r="J902" s="79">
        <v>0</v>
      </c>
      <c r="M902" s="83">
        <v>38145</v>
      </c>
      <c r="N902" s="80">
        <v>0.125</v>
      </c>
      <c r="O902" s="78">
        <v>63</v>
      </c>
      <c r="P902" s="79">
        <v>3</v>
      </c>
    </row>
    <row r="903" spans="1:16" ht="12.75">
      <c r="A903" s="83">
        <v>38145</v>
      </c>
      <c r="B903" s="80">
        <v>0.16666666666666666</v>
      </c>
      <c r="C903" s="78">
        <v>15</v>
      </c>
      <c r="D903" s="79">
        <v>8</v>
      </c>
      <c r="G903" s="83">
        <v>38145</v>
      </c>
      <c r="H903" s="80">
        <v>0.16666666666666666</v>
      </c>
      <c r="I903" s="78">
        <v>4</v>
      </c>
      <c r="J903" s="79">
        <v>0</v>
      </c>
      <c r="M903" s="83">
        <v>38145</v>
      </c>
      <c r="N903" s="80">
        <v>0.16666666666666666</v>
      </c>
      <c r="O903" s="78">
        <v>59</v>
      </c>
      <c r="P903" s="79">
        <v>3</v>
      </c>
    </row>
    <row r="904" spans="1:16" ht="12.75">
      <c r="A904" s="83">
        <v>38145</v>
      </c>
      <c r="B904" s="80">
        <v>0.20833333333333334</v>
      </c>
      <c r="C904" s="78">
        <v>17</v>
      </c>
      <c r="D904" s="79">
        <v>8</v>
      </c>
      <c r="G904" s="83">
        <v>38145</v>
      </c>
      <c r="H904" s="80">
        <v>0.20833333333333334</v>
      </c>
      <c r="I904" s="78">
        <v>8</v>
      </c>
      <c r="J904" s="79">
        <v>0</v>
      </c>
      <c r="M904" s="83">
        <v>38145</v>
      </c>
      <c r="N904" s="80">
        <v>0.20833333333333334</v>
      </c>
      <c r="O904" s="78">
        <v>63</v>
      </c>
      <c r="P904" s="79">
        <v>3</v>
      </c>
    </row>
    <row r="905" spans="1:16" ht="12.75">
      <c r="A905" s="83">
        <v>38145</v>
      </c>
      <c r="B905" s="80">
        <v>0.25</v>
      </c>
      <c r="C905" s="78">
        <v>27</v>
      </c>
      <c r="D905" s="79">
        <v>8</v>
      </c>
      <c r="G905" s="83">
        <v>38145</v>
      </c>
      <c r="H905" s="80">
        <v>0.25</v>
      </c>
      <c r="I905" s="78">
        <v>17</v>
      </c>
      <c r="J905" s="79">
        <v>0</v>
      </c>
      <c r="M905" s="83">
        <v>38145</v>
      </c>
      <c r="N905" s="80">
        <v>0.25</v>
      </c>
      <c r="O905" s="78">
        <v>78</v>
      </c>
      <c r="P905" s="79">
        <v>3</v>
      </c>
    </row>
    <row r="906" spans="1:16" ht="12.75">
      <c r="A906" s="83">
        <v>38145</v>
      </c>
      <c r="B906" s="80">
        <v>0.2916666666666667</v>
      </c>
      <c r="C906" s="78">
        <v>27</v>
      </c>
      <c r="D906" s="79">
        <v>8</v>
      </c>
      <c r="G906" s="83">
        <v>38145</v>
      </c>
      <c r="H906" s="80">
        <v>0.2916666666666667</v>
      </c>
      <c r="I906" s="78">
        <v>36</v>
      </c>
      <c r="J906" s="79">
        <v>0</v>
      </c>
      <c r="M906" s="83">
        <v>38145</v>
      </c>
      <c r="N906" s="80">
        <v>0.2916666666666667</v>
      </c>
      <c r="O906" s="78">
        <v>73</v>
      </c>
      <c r="P906" s="79">
        <v>5</v>
      </c>
    </row>
    <row r="907" spans="1:16" ht="12.75">
      <c r="A907" s="83">
        <v>38145</v>
      </c>
      <c r="B907" s="80">
        <v>0.3333333333333333</v>
      </c>
      <c r="C907" s="78">
        <v>31</v>
      </c>
      <c r="D907" s="79">
        <v>11</v>
      </c>
      <c r="G907" s="83">
        <v>38145</v>
      </c>
      <c r="H907" s="80">
        <v>0.3333333333333333</v>
      </c>
      <c r="I907" s="78">
        <v>44</v>
      </c>
      <c r="J907" s="79">
        <v>0</v>
      </c>
      <c r="M907" s="83">
        <v>38145</v>
      </c>
      <c r="N907" s="80">
        <v>0.3333333333333333</v>
      </c>
      <c r="O907" s="78">
        <v>84</v>
      </c>
      <c r="P907" s="79">
        <v>5</v>
      </c>
    </row>
    <row r="908" spans="1:16" ht="12.75">
      <c r="A908" s="83">
        <v>38145</v>
      </c>
      <c r="B908" s="80">
        <v>0.375</v>
      </c>
      <c r="C908" s="78">
        <v>27</v>
      </c>
      <c r="D908" s="79">
        <v>11</v>
      </c>
      <c r="G908" s="83">
        <v>38145</v>
      </c>
      <c r="H908" s="80">
        <v>0.375</v>
      </c>
      <c r="I908" s="78">
        <v>42</v>
      </c>
      <c r="J908" s="79">
        <v>3</v>
      </c>
      <c r="M908" s="83">
        <v>38145</v>
      </c>
      <c r="N908" s="80">
        <v>0.375</v>
      </c>
      <c r="O908" s="78">
        <v>84</v>
      </c>
      <c r="P908" s="79">
        <v>5</v>
      </c>
    </row>
    <row r="909" spans="1:16" ht="12.75">
      <c r="A909" s="83">
        <v>38145</v>
      </c>
      <c r="B909" s="80">
        <v>0.4166666666666667</v>
      </c>
      <c r="C909" s="78">
        <v>21</v>
      </c>
      <c r="D909" s="79">
        <v>13</v>
      </c>
      <c r="G909" s="83">
        <v>38145</v>
      </c>
      <c r="H909" s="80">
        <v>0.4166666666666667</v>
      </c>
      <c r="I909" s="78">
        <v>34</v>
      </c>
      <c r="J909" s="79">
        <v>0</v>
      </c>
      <c r="M909" s="83">
        <v>38145</v>
      </c>
      <c r="N909" s="80">
        <v>0.4166666666666667</v>
      </c>
      <c r="O909" s="78">
        <v>65</v>
      </c>
      <c r="P909" s="79">
        <v>5</v>
      </c>
    </row>
    <row r="910" spans="1:16" ht="12.75">
      <c r="A910" s="83">
        <v>38145</v>
      </c>
      <c r="B910" s="80">
        <v>0.4583333333333333</v>
      </c>
      <c r="C910" s="78">
        <v>29</v>
      </c>
      <c r="D910" s="79">
        <v>13</v>
      </c>
      <c r="G910" s="83">
        <v>38145</v>
      </c>
      <c r="H910" s="80">
        <v>0.4583333333333333</v>
      </c>
      <c r="I910" s="78">
        <v>46</v>
      </c>
      <c r="J910" s="79">
        <v>3</v>
      </c>
      <c r="M910" s="83">
        <v>38145</v>
      </c>
      <c r="N910" s="80">
        <v>0.4583333333333333</v>
      </c>
      <c r="O910" s="78">
        <v>76</v>
      </c>
      <c r="P910" s="79">
        <v>5</v>
      </c>
    </row>
    <row r="911" spans="1:16" ht="12.75">
      <c r="A911" s="83">
        <v>38145</v>
      </c>
      <c r="B911" s="80">
        <v>0.5</v>
      </c>
      <c r="C911" s="78">
        <v>15</v>
      </c>
      <c r="D911" s="79">
        <v>11</v>
      </c>
      <c r="G911" s="83">
        <v>38145</v>
      </c>
      <c r="H911" s="80">
        <v>0.5</v>
      </c>
      <c r="I911" s="78">
        <v>48</v>
      </c>
      <c r="J911" s="79">
        <v>3</v>
      </c>
      <c r="M911" s="83">
        <v>38145</v>
      </c>
      <c r="N911" s="80">
        <v>0.5</v>
      </c>
      <c r="O911" s="78">
        <v>73</v>
      </c>
      <c r="P911" s="79">
        <v>3</v>
      </c>
    </row>
    <row r="912" spans="1:16" ht="12.75">
      <c r="A912" s="83">
        <v>38145</v>
      </c>
      <c r="B912" s="80">
        <v>0.5416666666666666</v>
      </c>
      <c r="C912" s="78">
        <v>25</v>
      </c>
      <c r="D912" s="79">
        <v>8</v>
      </c>
      <c r="G912" s="83">
        <v>38145</v>
      </c>
      <c r="H912" s="80">
        <v>0.5416666666666666</v>
      </c>
      <c r="I912" s="78">
        <v>40</v>
      </c>
      <c r="J912" s="79">
        <v>0</v>
      </c>
      <c r="M912" s="83">
        <v>38145</v>
      </c>
      <c r="N912" s="80">
        <v>0.5416666666666666</v>
      </c>
      <c r="O912" s="78">
        <v>74</v>
      </c>
      <c r="P912" s="79">
        <v>3</v>
      </c>
    </row>
    <row r="913" spans="1:16" ht="12.75">
      <c r="A913" s="83">
        <v>38145</v>
      </c>
      <c r="B913" s="80">
        <v>0.5833333333333334</v>
      </c>
      <c r="C913" s="78">
        <v>15</v>
      </c>
      <c r="D913" s="79">
        <v>8</v>
      </c>
      <c r="G913" s="83">
        <v>38145</v>
      </c>
      <c r="H913" s="80">
        <v>0.5833333333333334</v>
      </c>
      <c r="I913" s="78">
        <v>31</v>
      </c>
      <c r="J913" s="79">
        <v>0</v>
      </c>
      <c r="M913" s="83">
        <v>38145</v>
      </c>
      <c r="N913" s="80">
        <v>0.5833333333333334</v>
      </c>
      <c r="O913" s="78">
        <v>84</v>
      </c>
      <c r="P913" s="79">
        <v>3</v>
      </c>
    </row>
    <row r="914" spans="1:16" ht="12.75">
      <c r="A914" s="83">
        <v>38145</v>
      </c>
      <c r="B914" s="80">
        <v>0.625</v>
      </c>
      <c r="C914" s="78">
        <v>27</v>
      </c>
      <c r="D914" s="79">
        <v>8</v>
      </c>
      <c r="G914" s="83">
        <v>38145</v>
      </c>
      <c r="H914" s="80">
        <v>0.625</v>
      </c>
      <c r="I914" s="78">
        <v>34</v>
      </c>
      <c r="J914" s="79">
        <v>0</v>
      </c>
      <c r="M914" s="83">
        <v>38145</v>
      </c>
      <c r="N914" s="80">
        <v>0.625</v>
      </c>
      <c r="O914" s="78">
        <v>80</v>
      </c>
      <c r="P914" s="79">
        <v>5</v>
      </c>
    </row>
    <row r="915" spans="1:16" ht="12.75">
      <c r="A915" s="83">
        <v>38145</v>
      </c>
      <c r="B915" s="80">
        <v>0.6666666666666666</v>
      </c>
      <c r="C915" s="78">
        <v>23</v>
      </c>
      <c r="D915" s="79">
        <v>8</v>
      </c>
      <c r="G915" s="83">
        <v>38145</v>
      </c>
      <c r="H915" s="80">
        <v>0.6666666666666666</v>
      </c>
      <c r="I915" s="78">
        <v>38</v>
      </c>
      <c r="J915" s="79">
        <v>0</v>
      </c>
      <c r="M915" s="83">
        <v>38145</v>
      </c>
      <c r="N915" s="80">
        <v>0.6666666666666666</v>
      </c>
      <c r="O915" s="78">
        <v>88</v>
      </c>
      <c r="P915" s="79">
        <v>3</v>
      </c>
    </row>
    <row r="916" spans="1:16" ht="12.75">
      <c r="A916" s="83">
        <v>38145</v>
      </c>
      <c r="B916" s="80">
        <v>0.7083333333333334</v>
      </c>
      <c r="C916" s="78">
        <v>34</v>
      </c>
      <c r="D916" s="79">
        <v>8</v>
      </c>
      <c r="G916" s="83">
        <v>38145</v>
      </c>
      <c r="H916" s="80">
        <v>0.7083333333333334</v>
      </c>
      <c r="I916" s="78">
        <v>40</v>
      </c>
      <c r="J916" s="79">
        <v>0</v>
      </c>
      <c r="M916" s="83">
        <v>38145</v>
      </c>
      <c r="N916" s="80">
        <v>0.7083333333333334</v>
      </c>
      <c r="O916" s="78">
        <v>82</v>
      </c>
      <c r="P916" s="79">
        <v>3</v>
      </c>
    </row>
    <row r="917" spans="1:16" ht="12.75">
      <c r="A917" s="83">
        <v>38145</v>
      </c>
      <c r="B917" s="80">
        <v>0.75</v>
      </c>
      <c r="C917" s="78">
        <v>34</v>
      </c>
      <c r="D917" s="79">
        <v>8</v>
      </c>
      <c r="G917" s="83">
        <v>38145</v>
      </c>
      <c r="H917" s="80">
        <v>0.75</v>
      </c>
      <c r="I917" s="78">
        <v>34</v>
      </c>
      <c r="J917" s="79">
        <v>0</v>
      </c>
      <c r="M917" s="83">
        <v>38145</v>
      </c>
      <c r="N917" s="80">
        <v>0.75</v>
      </c>
      <c r="O917" s="78">
        <v>96</v>
      </c>
      <c r="P917" s="79">
        <v>3</v>
      </c>
    </row>
    <row r="918" spans="1:16" ht="12.75">
      <c r="A918" s="83">
        <v>38145</v>
      </c>
      <c r="B918" s="80">
        <v>0.7916666666666666</v>
      </c>
      <c r="C918" s="78">
        <v>36</v>
      </c>
      <c r="D918" s="79">
        <v>8</v>
      </c>
      <c r="G918" s="83">
        <v>38145</v>
      </c>
      <c r="H918" s="80">
        <v>0.7916666666666666</v>
      </c>
      <c r="I918" s="78">
        <v>34</v>
      </c>
      <c r="J918" s="79">
        <v>0</v>
      </c>
      <c r="M918" s="83">
        <v>38145</v>
      </c>
      <c r="N918" s="80">
        <v>0.7916666666666666</v>
      </c>
      <c r="O918" s="78">
        <v>97</v>
      </c>
      <c r="P918" s="79">
        <v>5</v>
      </c>
    </row>
    <row r="919" spans="1:16" ht="12.75">
      <c r="A919" s="83">
        <v>38145</v>
      </c>
      <c r="B919" s="80">
        <v>0.8333333333333334</v>
      </c>
      <c r="C919" s="78">
        <v>21</v>
      </c>
      <c r="D919" s="79">
        <v>8</v>
      </c>
      <c r="G919" s="83">
        <v>38145</v>
      </c>
      <c r="H919" s="80">
        <v>0.8333333333333334</v>
      </c>
      <c r="I919" s="78">
        <v>36</v>
      </c>
      <c r="J919" s="79">
        <v>0</v>
      </c>
      <c r="M919" s="83">
        <v>38145</v>
      </c>
      <c r="N919" s="80">
        <v>0.8333333333333334</v>
      </c>
      <c r="O919" s="78">
        <v>94</v>
      </c>
      <c r="P919" s="79">
        <v>3</v>
      </c>
    </row>
    <row r="920" spans="1:16" ht="12.75">
      <c r="A920" s="83">
        <v>38145</v>
      </c>
      <c r="B920" s="80">
        <v>0.875</v>
      </c>
      <c r="C920" s="78">
        <v>36</v>
      </c>
      <c r="D920" s="79">
        <v>8</v>
      </c>
      <c r="G920" s="83">
        <v>38145</v>
      </c>
      <c r="H920" s="80">
        <v>0.875</v>
      </c>
      <c r="I920" s="78">
        <v>32</v>
      </c>
      <c r="J920" s="79">
        <v>0</v>
      </c>
      <c r="M920" s="83">
        <v>38145</v>
      </c>
      <c r="N920" s="80">
        <v>0.875</v>
      </c>
      <c r="O920" s="78">
        <v>105</v>
      </c>
      <c r="P920" s="79">
        <v>3</v>
      </c>
    </row>
    <row r="921" spans="1:16" ht="12.75">
      <c r="A921" s="83">
        <v>38145</v>
      </c>
      <c r="B921" s="80">
        <v>0.9166666666666666</v>
      </c>
      <c r="C921" s="78">
        <v>55</v>
      </c>
      <c r="D921" s="79">
        <v>8</v>
      </c>
      <c r="G921" s="83">
        <v>38145</v>
      </c>
      <c r="H921" s="80">
        <v>0.9166666666666666</v>
      </c>
      <c r="I921" s="78">
        <v>38</v>
      </c>
      <c r="J921" s="79">
        <v>0</v>
      </c>
      <c r="M921" s="83">
        <v>38145</v>
      </c>
      <c r="N921" s="80">
        <v>0.9166666666666666</v>
      </c>
      <c r="O921" s="78">
        <v>115</v>
      </c>
      <c r="P921" s="79">
        <v>3</v>
      </c>
    </row>
    <row r="922" spans="1:16" ht="12.75">
      <c r="A922" s="83">
        <v>38145</v>
      </c>
      <c r="B922" s="80">
        <v>0.9583333333333334</v>
      </c>
      <c r="C922" s="78">
        <v>23</v>
      </c>
      <c r="D922" s="79">
        <v>8</v>
      </c>
      <c r="G922" s="83">
        <v>38145</v>
      </c>
      <c r="H922" s="80">
        <v>0.9583333333333334</v>
      </c>
      <c r="I922" s="78">
        <v>65</v>
      </c>
      <c r="J922" s="79">
        <v>3</v>
      </c>
      <c r="M922" s="83">
        <v>38145</v>
      </c>
      <c r="N922" s="80">
        <v>0.9583333333333334</v>
      </c>
      <c r="O922" s="78">
        <v>103</v>
      </c>
      <c r="P922" s="79">
        <v>3</v>
      </c>
    </row>
    <row r="923" spans="1:16" ht="12.75">
      <c r="A923" s="83">
        <v>38145</v>
      </c>
      <c r="B923" s="81">
        <v>1</v>
      </c>
      <c r="C923" s="78">
        <v>17</v>
      </c>
      <c r="D923" s="79">
        <v>8</v>
      </c>
      <c r="G923" s="83">
        <v>38145</v>
      </c>
      <c r="H923" s="81">
        <v>1</v>
      </c>
      <c r="I923" s="78">
        <v>42</v>
      </c>
      <c r="J923" s="79">
        <v>3</v>
      </c>
      <c r="M923" s="83">
        <v>38145</v>
      </c>
      <c r="N923" s="81">
        <v>1</v>
      </c>
      <c r="O923" s="78">
        <v>99</v>
      </c>
      <c r="P923" s="79">
        <v>3</v>
      </c>
    </row>
    <row r="924" spans="1:16" s="92" customFormat="1" ht="12.75">
      <c r="A924" s="90">
        <v>38146</v>
      </c>
      <c r="B924" s="91">
        <v>0.041666666666666664</v>
      </c>
      <c r="C924" s="92">
        <v>8</v>
      </c>
      <c r="D924" s="92">
        <v>3</v>
      </c>
      <c r="G924" s="90">
        <v>38146</v>
      </c>
      <c r="H924" s="91">
        <v>0.041666666666666664</v>
      </c>
      <c r="I924" s="92">
        <v>23</v>
      </c>
      <c r="J924" s="92">
        <v>3</v>
      </c>
      <c r="M924" s="90">
        <v>38146</v>
      </c>
      <c r="N924" s="91">
        <v>0.041666666666666664</v>
      </c>
      <c r="O924" s="92">
        <v>86</v>
      </c>
      <c r="P924" s="92">
        <v>3</v>
      </c>
    </row>
    <row r="925" spans="1:16" ht="12.75">
      <c r="A925" s="83">
        <v>38146</v>
      </c>
      <c r="B925" s="80">
        <v>0.08333333333333333</v>
      </c>
      <c r="C925" s="78">
        <v>23</v>
      </c>
      <c r="D925" s="79">
        <v>3</v>
      </c>
      <c r="G925" s="83">
        <v>38146</v>
      </c>
      <c r="H925" s="80">
        <v>0.08333333333333333</v>
      </c>
      <c r="I925" s="78">
        <v>31</v>
      </c>
      <c r="J925" s="79">
        <v>3</v>
      </c>
      <c r="M925" s="83">
        <v>38146</v>
      </c>
      <c r="N925" s="80">
        <v>0.08333333333333333</v>
      </c>
      <c r="O925" s="78">
        <v>71</v>
      </c>
      <c r="P925" s="79">
        <v>3</v>
      </c>
    </row>
    <row r="926" spans="1:16" ht="12.75">
      <c r="A926" s="83">
        <v>38146</v>
      </c>
      <c r="B926" s="80">
        <v>0.125</v>
      </c>
      <c r="C926" s="78">
        <v>15</v>
      </c>
      <c r="D926" s="79">
        <v>3</v>
      </c>
      <c r="G926" s="83">
        <v>38146</v>
      </c>
      <c r="H926" s="80">
        <v>0.125</v>
      </c>
      <c r="I926" s="78">
        <v>27</v>
      </c>
      <c r="J926" s="79">
        <v>3</v>
      </c>
      <c r="M926" s="83">
        <v>38146</v>
      </c>
      <c r="N926" s="80">
        <v>0.125</v>
      </c>
      <c r="O926" s="78">
        <v>69</v>
      </c>
      <c r="P926" s="79">
        <v>3</v>
      </c>
    </row>
    <row r="927" spans="1:16" ht="12.75">
      <c r="A927" s="83">
        <v>38146</v>
      </c>
      <c r="B927" s="80">
        <v>0.16666666666666666</v>
      </c>
      <c r="C927" s="78">
        <v>23</v>
      </c>
      <c r="D927" s="79">
        <v>3</v>
      </c>
      <c r="G927" s="83">
        <v>38146</v>
      </c>
      <c r="H927" s="80">
        <v>0.16666666666666666</v>
      </c>
      <c r="I927" s="78">
        <v>19</v>
      </c>
      <c r="J927" s="79">
        <v>5</v>
      </c>
      <c r="M927" s="83">
        <v>38146</v>
      </c>
      <c r="N927" s="80">
        <v>0.16666666666666666</v>
      </c>
      <c r="O927" s="78">
        <v>55</v>
      </c>
      <c r="P927" s="79">
        <v>3</v>
      </c>
    </row>
    <row r="928" spans="1:16" ht="12.75">
      <c r="A928" s="83">
        <v>38146</v>
      </c>
      <c r="B928" s="80">
        <v>0.20833333333333334</v>
      </c>
      <c r="C928" s="78">
        <v>34</v>
      </c>
      <c r="D928" s="79">
        <v>5</v>
      </c>
      <c r="G928" s="83">
        <v>38146</v>
      </c>
      <c r="H928" s="80">
        <v>0.20833333333333334</v>
      </c>
      <c r="I928" s="78">
        <v>23</v>
      </c>
      <c r="J928" s="79">
        <v>3</v>
      </c>
      <c r="M928" s="83">
        <v>38146</v>
      </c>
      <c r="N928" s="80">
        <v>0.20833333333333334</v>
      </c>
      <c r="O928" s="78">
        <v>52</v>
      </c>
      <c r="P928" s="79">
        <v>3</v>
      </c>
    </row>
    <row r="929" spans="1:16" ht="12.75">
      <c r="A929" s="83">
        <v>38146</v>
      </c>
      <c r="B929" s="80">
        <v>0.25</v>
      </c>
      <c r="C929" s="78">
        <v>48</v>
      </c>
      <c r="D929" s="79">
        <v>5</v>
      </c>
      <c r="G929" s="83">
        <v>38146</v>
      </c>
      <c r="H929" s="80">
        <v>0.25</v>
      </c>
      <c r="I929" s="78">
        <v>27</v>
      </c>
      <c r="J929" s="79">
        <v>3</v>
      </c>
      <c r="M929" s="83">
        <v>38146</v>
      </c>
      <c r="N929" s="80">
        <v>0.25</v>
      </c>
      <c r="O929" s="78">
        <v>76</v>
      </c>
      <c r="P929" s="79">
        <v>3</v>
      </c>
    </row>
    <row r="930" spans="1:16" ht="12.75">
      <c r="A930" s="83">
        <v>38146</v>
      </c>
      <c r="B930" s="80">
        <v>0.2916666666666667</v>
      </c>
      <c r="C930" s="78">
        <v>31</v>
      </c>
      <c r="D930" s="79">
        <v>5</v>
      </c>
      <c r="G930" s="83">
        <v>38146</v>
      </c>
      <c r="H930" s="80">
        <v>0.2916666666666667</v>
      </c>
      <c r="I930" s="78">
        <v>34</v>
      </c>
      <c r="J930" s="79">
        <v>5</v>
      </c>
      <c r="M930" s="83">
        <v>38146</v>
      </c>
      <c r="N930" s="80">
        <v>0.2916666666666667</v>
      </c>
      <c r="O930" s="78">
        <v>101</v>
      </c>
      <c r="P930" s="79">
        <v>5</v>
      </c>
    </row>
    <row r="931" spans="1:16" ht="12.75">
      <c r="A931" s="83">
        <v>38146</v>
      </c>
      <c r="B931" s="80">
        <v>0.3333333333333333</v>
      </c>
      <c r="C931" s="78">
        <v>29</v>
      </c>
      <c r="D931" s="79">
        <v>5</v>
      </c>
      <c r="G931" s="83">
        <v>38146</v>
      </c>
      <c r="H931" s="80">
        <v>0.3333333333333333</v>
      </c>
      <c r="I931" s="78">
        <v>38</v>
      </c>
      <c r="J931" s="79">
        <v>3</v>
      </c>
      <c r="M931" s="83">
        <v>38146</v>
      </c>
      <c r="N931" s="80">
        <v>0.3333333333333333</v>
      </c>
      <c r="O931" s="78">
        <v>109</v>
      </c>
      <c r="P931" s="79">
        <v>5</v>
      </c>
    </row>
    <row r="932" spans="1:16" ht="12.75">
      <c r="A932" s="83">
        <v>38146</v>
      </c>
      <c r="B932" s="80">
        <v>0.375</v>
      </c>
      <c r="C932" s="78">
        <v>23</v>
      </c>
      <c r="D932" s="79">
        <v>5</v>
      </c>
      <c r="G932" s="83">
        <v>38146</v>
      </c>
      <c r="H932" s="80">
        <v>0.375</v>
      </c>
      <c r="I932" s="78">
        <v>32</v>
      </c>
      <c r="J932" s="79">
        <v>5</v>
      </c>
      <c r="M932" s="83">
        <v>38146</v>
      </c>
      <c r="N932" s="80">
        <v>0.375</v>
      </c>
      <c r="O932" s="78">
        <v>103</v>
      </c>
      <c r="P932" s="79">
        <v>8</v>
      </c>
    </row>
    <row r="933" spans="1:16" ht="12.75">
      <c r="A933" s="83">
        <v>38146</v>
      </c>
      <c r="B933" s="80">
        <v>0.4166666666666667</v>
      </c>
      <c r="C933" s="78">
        <v>29</v>
      </c>
      <c r="D933" s="79">
        <v>5</v>
      </c>
      <c r="G933" s="83">
        <v>38146</v>
      </c>
      <c r="H933" s="80">
        <v>0.4166666666666667</v>
      </c>
      <c r="I933" s="78">
        <v>23</v>
      </c>
      <c r="J933" s="79">
        <v>8</v>
      </c>
      <c r="M933" s="83">
        <v>38146</v>
      </c>
      <c r="N933" s="80">
        <v>0.4166666666666667</v>
      </c>
      <c r="O933" s="78">
        <v>101</v>
      </c>
      <c r="P933" s="79">
        <v>5</v>
      </c>
    </row>
    <row r="934" spans="1:16" ht="12.75">
      <c r="A934" s="83">
        <v>38146</v>
      </c>
      <c r="B934" s="80">
        <v>0.4583333333333333</v>
      </c>
      <c r="C934" s="78">
        <v>40</v>
      </c>
      <c r="D934" s="79">
        <v>16</v>
      </c>
      <c r="G934" s="83">
        <v>38146</v>
      </c>
      <c r="H934" s="80">
        <v>0.4583333333333333</v>
      </c>
      <c r="I934" s="78">
        <v>29</v>
      </c>
      <c r="J934" s="79">
        <v>8</v>
      </c>
      <c r="M934" s="83">
        <v>38146</v>
      </c>
      <c r="N934" s="80">
        <v>0.4583333333333333</v>
      </c>
      <c r="O934" s="78">
        <v>96</v>
      </c>
      <c r="P934" s="79">
        <v>5</v>
      </c>
    </row>
    <row r="935" spans="1:16" ht="12.75">
      <c r="A935" s="83">
        <v>38146</v>
      </c>
      <c r="B935" s="80">
        <v>0.5</v>
      </c>
      <c r="C935" s="78">
        <v>31</v>
      </c>
      <c r="D935" s="79">
        <v>8</v>
      </c>
      <c r="G935" s="83">
        <v>38146</v>
      </c>
      <c r="H935" s="80">
        <v>0.5</v>
      </c>
      <c r="I935" s="78">
        <v>40</v>
      </c>
      <c r="J935" s="79">
        <v>8</v>
      </c>
      <c r="M935" s="83">
        <v>38146</v>
      </c>
      <c r="N935" s="80">
        <v>0.5</v>
      </c>
      <c r="O935" s="78">
        <v>101</v>
      </c>
      <c r="P935" s="79">
        <v>5</v>
      </c>
    </row>
    <row r="936" spans="1:16" ht="12.75">
      <c r="A936" s="83">
        <v>38146</v>
      </c>
      <c r="B936" s="80">
        <v>0.5416666666666666</v>
      </c>
      <c r="C936" s="78">
        <v>25</v>
      </c>
      <c r="D936" s="79">
        <v>3</v>
      </c>
      <c r="G936" s="83">
        <v>38146</v>
      </c>
      <c r="H936" s="80">
        <v>0.5416666666666666</v>
      </c>
      <c r="I936" s="78">
        <v>38</v>
      </c>
      <c r="J936" s="79">
        <v>8</v>
      </c>
      <c r="M936" s="83">
        <v>38146</v>
      </c>
      <c r="N936" s="80">
        <v>0.5416666666666666</v>
      </c>
      <c r="O936" s="78">
        <v>103</v>
      </c>
      <c r="P936" s="79">
        <v>5</v>
      </c>
    </row>
    <row r="937" spans="1:16" ht="12.75">
      <c r="A937" s="83">
        <v>38146</v>
      </c>
      <c r="B937" s="80">
        <v>0.5833333333333334</v>
      </c>
      <c r="C937" s="78">
        <v>15</v>
      </c>
      <c r="D937" s="79">
        <v>3</v>
      </c>
      <c r="G937" s="83">
        <v>38146</v>
      </c>
      <c r="H937" s="80">
        <v>0.5833333333333334</v>
      </c>
      <c r="I937" s="78">
        <v>29</v>
      </c>
      <c r="J937" s="79">
        <v>11</v>
      </c>
      <c r="M937" s="83">
        <v>38146</v>
      </c>
      <c r="N937" s="80">
        <v>0.5833333333333334</v>
      </c>
      <c r="O937" s="78">
        <v>97</v>
      </c>
      <c r="P937" s="79">
        <v>5</v>
      </c>
    </row>
    <row r="938" spans="1:16" ht="12.75">
      <c r="A938" s="83">
        <v>38146</v>
      </c>
      <c r="B938" s="80">
        <v>0.625</v>
      </c>
      <c r="C938" s="78">
        <v>17</v>
      </c>
      <c r="D938" s="79">
        <v>3</v>
      </c>
      <c r="G938" s="83">
        <v>38146</v>
      </c>
      <c r="H938" s="80">
        <v>0.625</v>
      </c>
      <c r="I938" s="78">
        <v>34</v>
      </c>
      <c r="J938" s="79">
        <v>11</v>
      </c>
      <c r="M938" s="83">
        <v>38146</v>
      </c>
      <c r="N938" s="80">
        <v>0.625</v>
      </c>
      <c r="O938" s="78">
        <v>92</v>
      </c>
      <c r="P938" s="79">
        <v>5</v>
      </c>
    </row>
    <row r="939" spans="1:16" ht="12.75">
      <c r="A939" s="83">
        <v>38146</v>
      </c>
      <c r="B939" s="80">
        <v>0.6666666666666666</v>
      </c>
      <c r="C939" s="78">
        <v>21</v>
      </c>
      <c r="D939" s="79">
        <v>3</v>
      </c>
      <c r="G939" s="83">
        <v>38146</v>
      </c>
      <c r="H939" s="80">
        <v>0.6666666666666666</v>
      </c>
      <c r="I939" s="78">
        <v>50</v>
      </c>
      <c r="J939" s="79">
        <v>5</v>
      </c>
      <c r="M939" s="83">
        <v>38146</v>
      </c>
      <c r="N939" s="80">
        <v>0.6666666666666666</v>
      </c>
      <c r="O939" s="78">
        <v>96</v>
      </c>
      <c r="P939" s="79">
        <v>5</v>
      </c>
    </row>
    <row r="940" spans="1:16" ht="12.75">
      <c r="A940" s="83">
        <v>38146</v>
      </c>
      <c r="B940" s="80">
        <v>0.7083333333333334</v>
      </c>
      <c r="C940" s="78">
        <v>21</v>
      </c>
      <c r="D940" s="79">
        <v>0</v>
      </c>
      <c r="G940" s="83">
        <v>38146</v>
      </c>
      <c r="H940" s="80">
        <v>0.7083333333333334</v>
      </c>
      <c r="I940" s="78">
        <v>46</v>
      </c>
      <c r="J940" s="79">
        <v>3</v>
      </c>
      <c r="M940" s="83">
        <v>38146</v>
      </c>
      <c r="N940" s="80">
        <v>0.7083333333333334</v>
      </c>
      <c r="O940" s="78">
        <v>90</v>
      </c>
      <c r="P940" s="79">
        <v>5</v>
      </c>
    </row>
    <row r="941" spans="1:16" ht="12.75">
      <c r="A941" s="83">
        <v>38146</v>
      </c>
      <c r="B941" s="80">
        <v>0.75</v>
      </c>
      <c r="C941" s="78">
        <v>15</v>
      </c>
      <c r="D941" s="79">
        <v>0</v>
      </c>
      <c r="G941" s="83">
        <v>38146</v>
      </c>
      <c r="H941" s="80">
        <v>0.75</v>
      </c>
      <c r="I941" s="78">
        <v>32</v>
      </c>
      <c r="J941" s="79">
        <v>3</v>
      </c>
      <c r="M941" s="83">
        <v>38146</v>
      </c>
      <c r="N941" s="80">
        <v>0.75</v>
      </c>
      <c r="O941" s="78">
        <v>78</v>
      </c>
      <c r="P941" s="79">
        <v>3</v>
      </c>
    </row>
    <row r="942" spans="1:16" ht="12.75">
      <c r="A942" s="83">
        <v>38146</v>
      </c>
      <c r="B942" s="80">
        <v>0.7916666666666666</v>
      </c>
      <c r="C942" s="78">
        <v>15</v>
      </c>
      <c r="D942" s="79">
        <v>0</v>
      </c>
      <c r="G942" s="83">
        <v>38146</v>
      </c>
      <c r="H942" s="80">
        <v>0.7916666666666666</v>
      </c>
      <c r="I942" s="78">
        <v>23</v>
      </c>
      <c r="J942" s="79">
        <v>3</v>
      </c>
      <c r="M942" s="83">
        <v>38146</v>
      </c>
      <c r="N942" s="80">
        <v>0.7916666666666666</v>
      </c>
      <c r="O942" s="78">
        <v>86</v>
      </c>
      <c r="P942" s="79">
        <v>3</v>
      </c>
    </row>
    <row r="943" spans="1:16" ht="12.75">
      <c r="A943" s="83">
        <v>38146</v>
      </c>
      <c r="B943" s="80">
        <v>0.8333333333333334</v>
      </c>
      <c r="C943" s="78">
        <v>17</v>
      </c>
      <c r="D943" s="79">
        <v>0</v>
      </c>
      <c r="G943" s="83">
        <v>38146</v>
      </c>
      <c r="H943" s="80">
        <v>0.8333333333333334</v>
      </c>
      <c r="I943" s="78">
        <v>21</v>
      </c>
      <c r="J943" s="79">
        <v>3</v>
      </c>
      <c r="M943" s="83">
        <v>38146</v>
      </c>
      <c r="N943" s="80">
        <v>0.8333333333333334</v>
      </c>
      <c r="O943" s="78">
        <v>80</v>
      </c>
      <c r="P943" s="79">
        <v>5</v>
      </c>
    </row>
    <row r="944" spans="1:16" ht="12.75">
      <c r="A944" s="83">
        <v>38146</v>
      </c>
      <c r="B944" s="80">
        <v>0.875</v>
      </c>
      <c r="C944" s="78">
        <v>17</v>
      </c>
      <c r="D944" s="79">
        <v>0</v>
      </c>
      <c r="G944" s="83">
        <v>38146</v>
      </c>
      <c r="H944" s="80">
        <v>0.875</v>
      </c>
      <c r="I944" s="78">
        <v>23</v>
      </c>
      <c r="J944" s="79">
        <v>0</v>
      </c>
      <c r="M944" s="83">
        <v>38146</v>
      </c>
      <c r="N944" s="80">
        <v>0.875</v>
      </c>
      <c r="O944" s="78">
        <v>74</v>
      </c>
      <c r="P944" s="79">
        <v>5</v>
      </c>
    </row>
    <row r="945" spans="1:16" ht="12.75">
      <c r="A945" s="83">
        <v>38146</v>
      </c>
      <c r="B945" s="80">
        <v>0.9166666666666666</v>
      </c>
      <c r="C945" s="78">
        <v>13</v>
      </c>
      <c r="D945" s="79">
        <v>0</v>
      </c>
      <c r="G945" s="83">
        <v>38146</v>
      </c>
      <c r="H945" s="80">
        <v>0.9166666666666666</v>
      </c>
      <c r="I945" s="78">
        <v>21</v>
      </c>
      <c r="J945" s="79">
        <v>0</v>
      </c>
      <c r="M945" s="83">
        <v>38146</v>
      </c>
      <c r="N945" s="80">
        <v>0.9166666666666666</v>
      </c>
      <c r="O945" s="78">
        <v>71</v>
      </c>
      <c r="P945" s="79">
        <v>5</v>
      </c>
    </row>
    <row r="946" spans="1:16" ht="12.75">
      <c r="A946" s="83">
        <v>38146</v>
      </c>
      <c r="B946" s="80">
        <v>0.9583333333333334</v>
      </c>
      <c r="C946" s="78">
        <v>21</v>
      </c>
      <c r="D946" s="79">
        <v>0</v>
      </c>
      <c r="G946" s="83">
        <v>38146</v>
      </c>
      <c r="H946" s="80">
        <v>0.9583333333333334</v>
      </c>
      <c r="I946" s="78">
        <v>27</v>
      </c>
      <c r="J946" s="79">
        <v>0</v>
      </c>
      <c r="M946" s="83">
        <v>38146</v>
      </c>
      <c r="N946" s="80">
        <v>0.9583333333333334</v>
      </c>
      <c r="O946" s="78">
        <v>63</v>
      </c>
      <c r="P946" s="79">
        <v>3</v>
      </c>
    </row>
    <row r="947" spans="1:16" ht="12.75">
      <c r="A947" s="83">
        <v>38146</v>
      </c>
      <c r="B947" s="81">
        <v>1</v>
      </c>
      <c r="C947" s="78">
        <v>13</v>
      </c>
      <c r="D947" s="79">
        <v>0</v>
      </c>
      <c r="G947" s="83">
        <v>38146</v>
      </c>
      <c r="H947" s="81">
        <v>1</v>
      </c>
      <c r="I947" s="78">
        <v>25</v>
      </c>
      <c r="J947" s="79">
        <v>0</v>
      </c>
      <c r="M947" s="83">
        <v>38146</v>
      </c>
      <c r="N947" s="81">
        <v>1</v>
      </c>
      <c r="O947" s="78">
        <v>52</v>
      </c>
      <c r="P947" s="79">
        <v>3</v>
      </c>
    </row>
    <row r="948" spans="1:16" s="92" customFormat="1" ht="12.75">
      <c r="A948" s="90">
        <v>38147</v>
      </c>
      <c r="B948" s="91">
        <v>0.041666666666666664</v>
      </c>
      <c r="C948" s="92">
        <v>21</v>
      </c>
      <c r="D948" s="92">
        <v>8</v>
      </c>
      <c r="G948" s="90">
        <v>38147</v>
      </c>
      <c r="H948" s="91">
        <v>0.041666666666666664</v>
      </c>
      <c r="I948" s="92">
        <v>25</v>
      </c>
      <c r="J948" s="92">
        <v>0</v>
      </c>
      <c r="M948" s="90">
        <v>38147</v>
      </c>
      <c r="N948" s="91">
        <v>0.041666666666666664</v>
      </c>
      <c r="O948" s="92">
        <v>42</v>
      </c>
      <c r="P948" s="92">
        <v>3</v>
      </c>
    </row>
    <row r="949" spans="1:16" ht="12.75">
      <c r="A949" s="83">
        <v>38147</v>
      </c>
      <c r="B949" s="80">
        <v>0.08333333333333333</v>
      </c>
      <c r="C949" s="78">
        <v>17</v>
      </c>
      <c r="D949" s="79">
        <v>0</v>
      </c>
      <c r="G949" s="83">
        <v>38147</v>
      </c>
      <c r="H949" s="80">
        <v>0.08333333333333333</v>
      </c>
      <c r="I949" s="78">
        <v>17</v>
      </c>
      <c r="J949" s="79">
        <v>0</v>
      </c>
      <c r="M949" s="83">
        <v>38147</v>
      </c>
      <c r="N949" s="80">
        <v>0.08333333333333333</v>
      </c>
      <c r="O949" s="78">
        <v>36</v>
      </c>
      <c r="P949" s="79">
        <v>3</v>
      </c>
    </row>
    <row r="950" spans="1:16" ht="12.75">
      <c r="A950" s="83">
        <v>38147</v>
      </c>
      <c r="B950" s="80">
        <v>0.125</v>
      </c>
      <c r="C950" s="78">
        <v>27</v>
      </c>
      <c r="D950" s="79">
        <v>11</v>
      </c>
      <c r="G950" s="83">
        <v>38147</v>
      </c>
      <c r="H950" s="80">
        <v>0.125</v>
      </c>
      <c r="I950" s="78">
        <v>21</v>
      </c>
      <c r="J950" s="79">
        <v>0</v>
      </c>
      <c r="M950" s="83">
        <v>38147</v>
      </c>
      <c r="N950" s="80">
        <v>0.125</v>
      </c>
      <c r="O950" s="78">
        <v>36</v>
      </c>
      <c r="P950" s="79">
        <v>3</v>
      </c>
    </row>
    <row r="951" spans="1:16" ht="12.75">
      <c r="A951" s="83">
        <v>38147</v>
      </c>
      <c r="B951" s="80">
        <v>0.16666666666666666</v>
      </c>
      <c r="C951" s="78">
        <v>17</v>
      </c>
      <c r="D951" s="79">
        <v>16</v>
      </c>
      <c r="G951" s="83">
        <v>38147</v>
      </c>
      <c r="H951" s="80">
        <v>0.16666666666666666</v>
      </c>
      <c r="I951" s="78">
        <v>23</v>
      </c>
      <c r="J951" s="79">
        <v>0</v>
      </c>
      <c r="M951" s="83">
        <v>38147</v>
      </c>
      <c r="N951" s="80">
        <v>0.16666666666666666</v>
      </c>
      <c r="O951" s="78">
        <v>42</v>
      </c>
      <c r="P951" s="79">
        <v>3</v>
      </c>
    </row>
    <row r="952" spans="1:16" ht="12.75">
      <c r="A952" s="83">
        <v>38147</v>
      </c>
      <c r="B952" s="80">
        <v>0.20833333333333334</v>
      </c>
      <c r="C952" s="78">
        <v>25</v>
      </c>
      <c r="D952" s="79">
        <v>11</v>
      </c>
      <c r="G952" s="83">
        <v>38147</v>
      </c>
      <c r="H952" s="80">
        <v>0.20833333333333334</v>
      </c>
      <c r="I952" s="78">
        <v>29</v>
      </c>
      <c r="J952" s="79">
        <v>0</v>
      </c>
      <c r="M952" s="83">
        <v>38147</v>
      </c>
      <c r="N952" s="80">
        <v>0.20833333333333334</v>
      </c>
      <c r="O952" s="78">
        <v>53</v>
      </c>
      <c r="P952" s="79">
        <v>3</v>
      </c>
    </row>
    <row r="953" spans="1:16" ht="12.75">
      <c r="A953" s="83">
        <v>38147</v>
      </c>
      <c r="B953" s="80">
        <v>0.25</v>
      </c>
      <c r="C953" s="78">
        <v>31</v>
      </c>
      <c r="D953" s="79">
        <v>11</v>
      </c>
      <c r="G953" s="83">
        <v>38147</v>
      </c>
      <c r="H953" s="80">
        <v>0.25</v>
      </c>
      <c r="I953" s="78">
        <v>44</v>
      </c>
      <c r="J953" s="79">
        <v>0</v>
      </c>
      <c r="M953" s="83">
        <v>38147</v>
      </c>
      <c r="N953" s="80">
        <v>0.25</v>
      </c>
      <c r="O953" s="78">
        <v>65</v>
      </c>
      <c r="P953" s="79">
        <v>3</v>
      </c>
    </row>
    <row r="954" spans="1:16" ht="12.75">
      <c r="A954" s="83">
        <v>38147</v>
      </c>
      <c r="B954" s="80">
        <v>0.2916666666666667</v>
      </c>
      <c r="C954" s="78">
        <v>44</v>
      </c>
      <c r="D954" s="79">
        <v>11</v>
      </c>
      <c r="G954" s="83">
        <v>38147</v>
      </c>
      <c r="H954" s="80">
        <v>0.2916666666666667</v>
      </c>
      <c r="I954" s="78">
        <v>52</v>
      </c>
      <c r="J954" s="79">
        <v>3</v>
      </c>
      <c r="M954" s="83">
        <v>38147</v>
      </c>
      <c r="N954" s="80">
        <v>0.2916666666666667</v>
      </c>
      <c r="O954" s="78">
        <v>67</v>
      </c>
      <c r="P954" s="79">
        <v>3</v>
      </c>
    </row>
    <row r="955" spans="1:16" ht="12.75">
      <c r="A955" s="83">
        <v>38147</v>
      </c>
      <c r="B955" s="80">
        <v>0.3333333333333333</v>
      </c>
      <c r="C955" s="78">
        <v>40</v>
      </c>
      <c r="D955" s="79">
        <v>8</v>
      </c>
      <c r="G955" s="83">
        <v>38147</v>
      </c>
      <c r="H955" s="80">
        <v>0.3333333333333333</v>
      </c>
      <c r="I955" s="78">
        <v>25</v>
      </c>
      <c r="J955" s="79">
        <v>0</v>
      </c>
      <c r="M955" s="83">
        <v>38147</v>
      </c>
      <c r="N955" s="80">
        <v>0.3333333333333333</v>
      </c>
      <c r="O955" s="78">
        <v>53</v>
      </c>
      <c r="P955" s="79">
        <v>3</v>
      </c>
    </row>
    <row r="956" spans="1:16" ht="12.75">
      <c r="A956" s="83">
        <v>38147</v>
      </c>
      <c r="B956" s="80">
        <v>0.375</v>
      </c>
      <c r="C956" s="78">
        <v>32</v>
      </c>
      <c r="D956" s="79">
        <v>11</v>
      </c>
      <c r="G956" s="83">
        <v>38147</v>
      </c>
      <c r="H956" s="80">
        <v>0.375</v>
      </c>
      <c r="I956" s="78">
        <v>19</v>
      </c>
      <c r="J956" s="79">
        <v>0</v>
      </c>
      <c r="M956" s="83">
        <v>38147</v>
      </c>
      <c r="N956" s="80">
        <v>0.375</v>
      </c>
      <c r="O956" s="78">
        <v>55</v>
      </c>
      <c r="P956" s="79">
        <v>3</v>
      </c>
    </row>
    <row r="957" spans="1:16" ht="12.75">
      <c r="A957" s="83">
        <v>38147</v>
      </c>
      <c r="B957" s="80">
        <v>0.4166666666666667</v>
      </c>
      <c r="C957" s="78">
        <v>27</v>
      </c>
      <c r="D957" s="79">
        <v>11</v>
      </c>
      <c r="G957" s="83">
        <v>38147</v>
      </c>
      <c r="H957" s="80">
        <v>0.4166666666666667</v>
      </c>
      <c r="I957" s="78">
        <v>21</v>
      </c>
      <c r="J957" s="79">
        <v>0</v>
      </c>
      <c r="M957" s="83">
        <v>38147</v>
      </c>
      <c r="N957" s="80">
        <v>0.4166666666666667</v>
      </c>
      <c r="O957" s="78">
        <v>42</v>
      </c>
      <c r="P957" s="79">
        <v>3</v>
      </c>
    </row>
    <row r="958" spans="1:16" ht="12.75">
      <c r="A958" s="83">
        <v>38147</v>
      </c>
      <c r="B958" s="80">
        <v>0.4583333333333333</v>
      </c>
      <c r="C958" s="78">
        <v>29</v>
      </c>
      <c r="D958" s="79">
        <v>11</v>
      </c>
      <c r="G958" s="83">
        <v>38147</v>
      </c>
      <c r="H958" s="80">
        <v>0.4583333333333333</v>
      </c>
      <c r="I958" s="78">
        <v>29</v>
      </c>
      <c r="J958" s="79">
        <v>0</v>
      </c>
      <c r="M958" s="83">
        <v>38147</v>
      </c>
      <c r="N958" s="80">
        <v>0.4583333333333333</v>
      </c>
      <c r="O958" s="78">
        <v>44</v>
      </c>
      <c r="P958" s="79">
        <v>3</v>
      </c>
    </row>
    <row r="959" spans="1:16" ht="12.75">
      <c r="A959" s="83">
        <v>38147</v>
      </c>
      <c r="B959" s="80">
        <v>0.5</v>
      </c>
      <c r="C959" s="78">
        <v>19</v>
      </c>
      <c r="D959" s="79">
        <v>11</v>
      </c>
      <c r="G959" s="83">
        <v>38147</v>
      </c>
      <c r="H959" s="80">
        <v>0.5</v>
      </c>
      <c r="I959" s="78">
        <v>27</v>
      </c>
      <c r="J959" s="79">
        <v>0</v>
      </c>
      <c r="M959" s="83">
        <v>38147</v>
      </c>
      <c r="N959" s="80">
        <v>0.5</v>
      </c>
      <c r="O959" s="78">
        <v>32</v>
      </c>
      <c r="P959" s="79">
        <v>3</v>
      </c>
    </row>
    <row r="960" spans="1:16" ht="12.75">
      <c r="A960" s="83">
        <v>38147</v>
      </c>
      <c r="B960" s="80">
        <v>0.5416666666666666</v>
      </c>
      <c r="C960" s="78">
        <v>31</v>
      </c>
      <c r="D960" s="79">
        <v>35</v>
      </c>
      <c r="G960" s="83">
        <v>38147</v>
      </c>
      <c r="H960" s="80">
        <v>0.5416666666666666</v>
      </c>
      <c r="I960" s="78">
        <v>34</v>
      </c>
      <c r="J960" s="79">
        <v>3</v>
      </c>
      <c r="M960" s="83">
        <v>38147</v>
      </c>
      <c r="N960" s="80">
        <v>0.5416666666666666</v>
      </c>
      <c r="O960" s="78">
        <v>31</v>
      </c>
      <c r="P960" s="79">
        <v>3</v>
      </c>
    </row>
    <row r="961" spans="1:16" ht="12.75">
      <c r="A961" s="83">
        <v>38147</v>
      </c>
      <c r="B961" s="80">
        <v>0.5833333333333334</v>
      </c>
      <c r="C961" s="78">
        <v>40</v>
      </c>
      <c r="D961" s="79">
        <v>53</v>
      </c>
      <c r="G961" s="83">
        <v>38147</v>
      </c>
      <c r="H961" s="80">
        <v>0.5833333333333334</v>
      </c>
      <c r="I961" s="78">
        <v>31</v>
      </c>
      <c r="J961" s="79">
        <v>0</v>
      </c>
      <c r="M961" s="83">
        <v>38147</v>
      </c>
      <c r="N961" s="80">
        <v>0.5833333333333334</v>
      </c>
      <c r="O961" s="78">
        <v>44</v>
      </c>
      <c r="P961" s="79">
        <v>0</v>
      </c>
    </row>
    <row r="962" spans="1:16" ht="12.75">
      <c r="A962" s="83">
        <v>38147</v>
      </c>
      <c r="B962" s="80">
        <v>0.625</v>
      </c>
      <c r="C962" s="78">
        <v>27</v>
      </c>
      <c r="D962" s="79">
        <v>16</v>
      </c>
      <c r="G962" s="83">
        <v>38147</v>
      </c>
      <c r="H962" s="80">
        <v>0.625</v>
      </c>
      <c r="I962" s="78">
        <v>27</v>
      </c>
      <c r="J962" s="79">
        <v>0</v>
      </c>
      <c r="M962" s="83">
        <v>38147</v>
      </c>
      <c r="N962" s="80">
        <v>0.625</v>
      </c>
      <c r="O962" s="78">
        <v>44</v>
      </c>
      <c r="P962" s="79">
        <v>3</v>
      </c>
    </row>
    <row r="963" spans="1:16" ht="12.75">
      <c r="A963" s="83">
        <v>38147</v>
      </c>
      <c r="B963" s="80">
        <v>0.6666666666666666</v>
      </c>
      <c r="C963" s="78">
        <v>25</v>
      </c>
      <c r="D963" s="79">
        <v>11</v>
      </c>
      <c r="G963" s="83">
        <v>38147</v>
      </c>
      <c r="H963" s="80">
        <v>0.6666666666666666</v>
      </c>
      <c r="I963" s="78">
        <v>32</v>
      </c>
      <c r="J963" s="79">
        <v>0</v>
      </c>
      <c r="M963" s="83">
        <v>38147</v>
      </c>
      <c r="N963" s="80">
        <v>0.6666666666666666</v>
      </c>
      <c r="O963" s="78">
        <v>40</v>
      </c>
      <c r="P963" s="79">
        <v>0</v>
      </c>
    </row>
    <row r="964" spans="1:16" ht="12.75">
      <c r="A964" s="83">
        <v>38147</v>
      </c>
      <c r="B964" s="80">
        <v>0.7083333333333334</v>
      </c>
      <c r="C964" s="78">
        <v>38</v>
      </c>
      <c r="D964" s="79">
        <v>21</v>
      </c>
      <c r="G964" s="83">
        <v>38147</v>
      </c>
      <c r="H964" s="80">
        <v>0.7083333333333334</v>
      </c>
      <c r="I964" s="78">
        <v>34</v>
      </c>
      <c r="J964" s="79">
        <v>0</v>
      </c>
      <c r="M964" s="83">
        <v>38147</v>
      </c>
      <c r="N964" s="80">
        <v>0.7083333333333334</v>
      </c>
      <c r="O964" s="78">
        <v>50</v>
      </c>
      <c r="P964" s="79">
        <v>3</v>
      </c>
    </row>
    <row r="965" spans="1:16" ht="12.75">
      <c r="A965" s="83">
        <v>38147</v>
      </c>
      <c r="B965" s="80">
        <v>0.75</v>
      </c>
      <c r="C965" s="78">
        <v>17</v>
      </c>
      <c r="D965" s="79">
        <v>11</v>
      </c>
      <c r="G965" s="83">
        <v>38147</v>
      </c>
      <c r="H965" s="80">
        <v>0.75</v>
      </c>
      <c r="I965" s="78">
        <v>32</v>
      </c>
      <c r="J965" s="79">
        <v>0</v>
      </c>
      <c r="M965" s="83">
        <v>38147</v>
      </c>
      <c r="N965" s="80">
        <v>0.75</v>
      </c>
      <c r="O965" s="78">
        <v>61</v>
      </c>
      <c r="P965" s="79">
        <v>3</v>
      </c>
    </row>
    <row r="966" spans="1:16" ht="12.75">
      <c r="A966" s="83">
        <v>38147</v>
      </c>
      <c r="B966" s="80">
        <v>0.7916666666666666</v>
      </c>
      <c r="C966" s="78">
        <v>19</v>
      </c>
      <c r="D966" s="79">
        <v>13</v>
      </c>
      <c r="G966" s="83">
        <v>38147</v>
      </c>
      <c r="H966" s="80">
        <v>0.7916666666666666</v>
      </c>
      <c r="I966" s="78">
        <v>31</v>
      </c>
      <c r="J966" s="79">
        <v>0</v>
      </c>
      <c r="M966" s="83">
        <v>38147</v>
      </c>
      <c r="N966" s="80">
        <v>0.7916666666666666</v>
      </c>
      <c r="O966" s="78">
        <v>63</v>
      </c>
      <c r="P966" s="79">
        <v>3</v>
      </c>
    </row>
    <row r="967" spans="1:16" ht="12.75">
      <c r="A967" s="83">
        <v>38147</v>
      </c>
      <c r="B967" s="80">
        <v>0.8333333333333334</v>
      </c>
      <c r="C967" s="78">
        <v>21</v>
      </c>
      <c r="D967" s="79">
        <v>16</v>
      </c>
      <c r="G967" s="83">
        <v>38147</v>
      </c>
      <c r="H967" s="80">
        <v>0.8333333333333334</v>
      </c>
      <c r="I967" s="78">
        <v>36</v>
      </c>
      <c r="J967" s="79">
        <v>3</v>
      </c>
      <c r="M967" s="83">
        <v>38147</v>
      </c>
      <c r="N967" s="80">
        <v>0.8333333333333334</v>
      </c>
      <c r="O967" s="78">
        <v>67</v>
      </c>
      <c r="P967" s="79">
        <v>3</v>
      </c>
    </row>
    <row r="968" spans="1:16" ht="12.75">
      <c r="A968" s="83">
        <v>38147</v>
      </c>
      <c r="B968" s="80">
        <v>0.875</v>
      </c>
      <c r="C968" s="78">
        <v>17</v>
      </c>
      <c r="D968" s="79">
        <v>11</v>
      </c>
      <c r="G968" s="83">
        <v>38147</v>
      </c>
      <c r="H968" s="80">
        <v>0.875</v>
      </c>
      <c r="I968" s="78">
        <v>21</v>
      </c>
      <c r="J968" s="79">
        <v>0</v>
      </c>
      <c r="M968" s="83">
        <v>38147</v>
      </c>
      <c r="N968" s="80">
        <v>0.875</v>
      </c>
      <c r="O968" s="78">
        <v>61</v>
      </c>
      <c r="P968" s="79">
        <v>3</v>
      </c>
    </row>
    <row r="969" spans="1:16" ht="12.75">
      <c r="A969" s="83">
        <v>38147</v>
      </c>
      <c r="B969" s="80">
        <v>0.9166666666666666</v>
      </c>
      <c r="C969" s="78">
        <v>17</v>
      </c>
      <c r="D969" s="79">
        <v>8</v>
      </c>
      <c r="G969" s="83">
        <v>38147</v>
      </c>
      <c r="H969" s="80">
        <v>0.9166666666666666</v>
      </c>
      <c r="I969" s="78">
        <v>27</v>
      </c>
      <c r="J969" s="79">
        <v>0</v>
      </c>
      <c r="M969" s="83">
        <v>38147</v>
      </c>
      <c r="N969" s="80">
        <v>0.9166666666666666</v>
      </c>
      <c r="O969" s="78">
        <v>55</v>
      </c>
      <c r="P969" s="79">
        <v>5</v>
      </c>
    </row>
    <row r="970" spans="1:16" ht="12.75">
      <c r="A970" s="83">
        <v>38147</v>
      </c>
      <c r="B970" s="80">
        <v>0.9583333333333334</v>
      </c>
      <c r="C970" s="78">
        <v>17</v>
      </c>
      <c r="D970" s="79">
        <v>8</v>
      </c>
      <c r="G970" s="83">
        <v>38147</v>
      </c>
      <c r="H970" s="80">
        <v>0.9583333333333334</v>
      </c>
      <c r="I970" s="78">
        <v>21</v>
      </c>
      <c r="J970" s="79">
        <v>0</v>
      </c>
      <c r="M970" s="83">
        <v>38147</v>
      </c>
      <c r="N970" s="80">
        <v>0.9583333333333334</v>
      </c>
      <c r="O970" s="78">
        <v>44</v>
      </c>
      <c r="P970" s="79">
        <v>3</v>
      </c>
    </row>
    <row r="971" spans="1:16" ht="12.75">
      <c r="A971" s="83">
        <v>38147</v>
      </c>
      <c r="B971" s="81">
        <v>1</v>
      </c>
      <c r="C971" s="78">
        <v>13</v>
      </c>
      <c r="D971" s="79">
        <v>11</v>
      </c>
      <c r="G971" s="83">
        <v>38147</v>
      </c>
      <c r="H971" s="81">
        <v>1</v>
      </c>
      <c r="I971" s="78">
        <v>10</v>
      </c>
      <c r="J971" s="79">
        <v>0</v>
      </c>
      <c r="M971" s="83">
        <v>38147</v>
      </c>
      <c r="N971" s="81">
        <v>1</v>
      </c>
      <c r="O971" s="78">
        <v>46</v>
      </c>
      <c r="P971" s="79">
        <v>3</v>
      </c>
    </row>
    <row r="972" spans="1:16" s="92" customFormat="1" ht="12.75">
      <c r="A972" s="90">
        <v>38148</v>
      </c>
      <c r="B972" s="91">
        <v>0.041666666666666664</v>
      </c>
      <c r="D972" s="92">
        <v>13</v>
      </c>
      <c r="G972" s="90">
        <v>38148</v>
      </c>
      <c r="H972" s="91">
        <v>0.041666666666666664</v>
      </c>
      <c r="J972" s="92">
        <v>0</v>
      </c>
      <c r="M972" s="90">
        <v>38148</v>
      </c>
      <c r="N972" s="91">
        <v>0.041666666666666664</v>
      </c>
      <c r="P972" s="92">
        <v>3</v>
      </c>
    </row>
    <row r="973" spans="1:16" ht="12.75">
      <c r="A973" s="83">
        <v>38148</v>
      </c>
      <c r="B973" s="80">
        <v>0.08333333333333333</v>
      </c>
      <c r="D973" s="79">
        <v>11</v>
      </c>
      <c r="G973" s="83">
        <v>38148</v>
      </c>
      <c r="H973" s="80">
        <v>0.08333333333333333</v>
      </c>
      <c r="J973" s="79">
        <v>0</v>
      </c>
      <c r="M973" s="83">
        <v>38148</v>
      </c>
      <c r="N973" s="80">
        <v>0.08333333333333333</v>
      </c>
      <c r="P973" s="79">
        <v>3</v>
      </c>
    </row>
    <row r="974" spans="1:16" ht="12.75">
      <c r="A974" s="83">
        <v>38148</v>
      </c>
      <c r="B974" s="80">
        <v>0.125</v>
      </c>
      <c r="D974" s="79">
        <v>11</v>
      </c>
      <c r="G974" s="83">
        <v>38148</v>
      </c>
      <c r="H974" s="80">
        <v>0.125</v>
      </c>
      <c r="J974" s="79">
        <v>0</v>
      </c>
      <c r="M974" s="83">
        <v>38148</v>
      </c>
      <c r="N974" s="80">
        <v>0.125</v>
      </c>
      <c r="P974" s="79">
        <v>3</v>
      </c>
    </row>
    <row r="975" spans="1:16" ht="12.75">
      <c r="A975" s="83">
        <v>38148</v>
      </c>
      <c r="B975" s="80">
        <v>0.16666666666666666</v>
      </c>
      <c r="D975" s="79">
        <v>11</v>
      </c>
      <c r="G975" s="83">
        <v>38148</v>
      </c>
      <c r="H975" s="80">
        <v>0.16666666666666666</v>
      </c>
      <c r="J975" s="79">
        <v>0</v>
      </c>
      <c r="M975" s="83">
        <v>38148</v>
      </c>
      <c r="N975" s="80">
        <v>0.16666666666666666</v>
      </c>
      <c r="P975" s="79">
        <v>3</v>
      </c>
    </row>
    <row r="976" spans="1:16" ht="12.75">
      <c r="A976" s="83">
        <v>38148</v>
      </c>
      <c r="B976" s="80">
        <v>0.20833333333333334</v>
      </c>
      <c r="D976" s="79">
        <v>11</v>
      </c>
      <c r="G976" s="83">
        <v>38148</v>
      </c>
      <c r="H976" s="80">
        <v>0.20833333333333334</v>
      </c>
      <c r="J976" s="79">
        <v>0</v>
      </c>
      <c r="M976" s="83">
        <v>38148</v>
      </c>
      <c r="N976" s="80">
        <v>0.20833333333333334</v>
      </c>
      <c r="P976" s="79">
        <v>3</v>
      </c>
    </row>
    <row r="977" spans="1:16" ht="12.75">
      <c r="A977" s="83">
        <v>38148</v>
      </c>
      <c r="B977" s="80">
        <v>0.25</v>
      </c>
      <c r="C977" s="78">
        <v>19</v>
      </c>
      <c r="D977" s="79">
        <v>11</v>
      </c>
      <c r="G977" s="83">
        <v>38148</v>
      </c>
      <c r="H977" s="80">
        <v>0.25</v>
      </c>
      <c r="I977" s="78">
        <v>8</v>
      </c>
      <c r="J977" s="79">
        <v>0</v>
      </c>
      <c r="M977" s="83">
        <v>38148</v>
      </c>
      <c r="N977" s="80">
        <v>0.25</v>
      </c>
      <c r="P977" s="79">
        <v>3</v>
      </c>
    </row>
    <row r="978" spans="1:16" ht="12.75">
      <c r="A978" s="83">
        <v>38148</v>
      </c>
      <c r="B978" s="80">
        <v>0.2916666666666667</v>
      </c>
      <c r="C978" s="78">
        <v>25</v>
      </c>
      <c r="D978" s="79">
        <v>11</v>
      </c>
      <c r="G978" s="83">
        <v>38148</v>
      </c>
      <c r="H978" s="80">
        <v>0.2916666666666667</v>
      </c>
      <c r="I978" s="78">
        <v>13</v>
      </c>
      <c r="J978" s="79">
        <v>0</v>
      </c>
      <c r="M978" s="83">
        <v>38148</v>
      </c>
      <c r="N978" s="80">
        <v>0.2916666666666667</v>
      </c>
      <c r="O978" s="78">
        <v>65</v>
      </c>
      <c r="P978" s="79">
        <v>3</v>
      </c>
    </row>
    <row r="979" spans="1:16" ht="12.75">
      <c r="A979" s="83">
        <v>38148</v>
      </c>
      <c r="B979" s="80">
        <v>0.3333333333333333</v>
      </c>
      <c r="C979" s="78">
        <v>32</v>
      </c>
      <c r="D979" s="79">
        <v>11</v>
      </c>
      <c r="G979" s="83">
        <v>38148</v>
      </c>
      <c r="H979" s="80">
        <v>0.3333333333333333</v>
      </c>
      <c r="I979" s="78">
        <v>15</v>
      </c>
      <c r="J979" s="79">
        <v>0</v>
      </c>
      <c r="M979" s="83">
        <v>38148</v>
      </c>
      <c r="N979" s="80">
        <v>0.3333333333333333</v>
      </c>
      <c r="O979" s="78">
        <v>63</v>
      </c>
      <c r="P979" s="79">
        <v>3</v>
      </c>
    </row>
    <row r="980" spans="1:16" ht="12.75">
      <c r="A980" s="83">
        <v>38148</v>
      </c>
      <c r="B980" s="80">
        <v>0.375</v>
      </c>
      <c r="C980" s="78">
        <v>31</v>
      </c>
      <c r="D980" s="79">
        <v>11</v>
      </c>
      <c r="G980" s="83">
        <v>38148</v>
      </c>
      <c r="H980" s="80">
        <v>0.375</v>
      </c>
      <c r="I980" s="78">
        <v>15</v>
      </c>
      <c r="J980" s="79">
        <v>0</v>
      </c>
      <c r="M980" s="83">
        <v>38148</v>
      </c>
      <c r="N980" s="80">
        <v>0.375</v>
      </c>
      <c r="O980" s="78">
        <v>63</v>
      </c>
      <c r="P980" s="79">
        <v>5</v>
      </c>
    </row>
    <row r="981" spans="1:16" ht="12.75">
      <c r="A981" s="83">
        <v>38148</v>
      </c>
      <c r="B981" s="80">
        <v>0.4166666666666667</v>
      </c>
      <c r="C981" s="78">
        <v>25</v>
      </c>
      <c r="D981" s="79">
        <v>11</v>
      </c>
      <c r="G981" s="83">
        <v>38148</v>
      </c>
      <c r="H981" s="80">
        <v>0.4166666666666667</v>
      </c>
      <c r="I981" s="78">
        <v>15</v>
      </c>
      <c r="J981" s="79">
        <v>0</v>
      </c>
      <c r="M981" s="83">
        <v>38148</v>
      </c>
      <c r="N981" s="80">
        <v>0.4166666666666667</v>
      </c>
      <c r="O981" s="78">
        <v>57</v>
      </c>
      <c r="P981" s="79">
        <v>5</v>
      </c>
    </row>
    <row r="982" spans="1:16" ht="12.75">
      <c r="A982" s="83">
        <v>38148</v>
      </c>
      <c r="B982" s="80">
        <v>0.4583333333333333</v>
      </c>
      <c r="C982" s="78">
        <v>17</v>
      </c>
      <c r="D982" s="79">
        <v>11</v>
      </c>
      <c r="G982" s="83">
        <v>38148</v>
      </c>
      <c r="H982" s="80">
        <v>0.4583333333333333</v>
      </c>
      <c r="I982" s="78">
        <v>17</v>
      </c>
      <c r="J982" s="79">
        <v>0</v>
      </c>
      <c r="M982" s="83">
        <v>38148</v>
      </c>
      <c r="N982" s="80">
        <v>0.4583333333333333</v>
      </c>
      <c r="O982" s="78">
        <v>53</v>
      </c>
      <c r="P982" s="79">
        <v>3</v>
      </c>
    </row>
    <row r="983" spans="1:16" ht="12.75">
      <c r="A983" s="83">
        <v>38148</v>
      </c>
      <c r="B983" s="80">
        <v>0.5</v>
      </c>
      <c r="G983" s="83">
        <v>38148</v>
      </c>
      <c r="H983" s="80">
        <v>0.5</v>
      </c>
      <c r="M983" s="83">
        <v>38148</v>
      </c>
      <c r="N983" s="80">
        <v>0.5</v>
      </c>
      <c r="O983" s="78">
        <v>53</v>
      </c>
      <c r="P983" s="79">
        <v>21</v>
      </c>
    </row>
    <row r="984" spans="1:16" ht="12.75">
      <c r="A984" s="83">
        <v>38148</v>
      </c>
      <c r="B984" s="80">
        <v>0.5416666666666666</v>
      </c>
      <c r="C984" s="78">
        <v>17</v>
      </c>
      <c r="D984" s="79">
        <v>11</v>
      </c>
      <c r="G984" s="83">
        <v>38148</v>
      </c>
      <c r="H984" s="80">
        <v>0.5416666666666666</v>
      </c>
      <c r="I984" s="78">
        <v>10</v>
      </c>
      <c r="J984" s="79">
        <v>3</v>
      </c>
      <c r="M984" s="83">
        <v>38148</v>
      </c>
      <c r="N984" s="80">
        <v>0.5416666666666666</v>
      </c>
      <c r="O984" s="78">
        <v>48</v>
      </c>
      <c r="P984" s="79">
        <v>21</v>
      </c>
    </row>
    <row r="985" spans="1:16" ht="12.75">
      <c r="A985" s="83">
        <v>38148</v>
      </c>
      <c r="B985" s="80">
        <v>0.5833333333333334</v>
      </c>
      <c r="C985" s="78">
        <v>13</v>
      </c>
      <c r="D985" s="79">
        <v>8</v>
      </c>
      <c r="G985" s="83">
        <v>38148</v>
      </c>
      <c r="H985" s="80">
        <v>0.5833333333333334</v>
      </c>
      <c r="I985" s="78">
        <v>8</v>
      </c>
      <c r="J985" s="79">
        <v>3</v>
      </c>
      <c r="M985" s="83">
        <v>38148</v>
      </c>
      <c r="N985" s="80">
        <v>0.5833333333333334</v>
      </c>
      <c r="O985" s="78">
        <v>52</v>
      </c>
      <c r="P985" s="79">
        <v>3</v>
      </c>
    </row>
    <row r="986" spans="1:16" ht="12.75">
      <c r="A986" s="83">
        <v>38148</v>
      </c>
      <c r="B986" s="80">
        <v>0.625</v>
      </c>
      <c r="C986" s="78">
        <v>11</v>
      </c>
      <c r="D986" s="79">
        <v>8</v>
      </c>
      <c r="G986" s="83">
        <v>38148</v>
      </c>
      <c r="H986" s="80">
        <v>0.625</v>
      </c>
      <c r="I986" s="78">
        <v>11</v>
      </c>
      <c r="J986" s="79">
        <v>0</v>
      </c>
      <c r="M986" s="83">
        <v>38148</v>
      </c>
      <c r="N986" s="80">
        <v>0.625</v>
      </c>
      <c r="O986" s="78">
        <v>53</v>
      </c>
      <c r="P986" s="79">
        <v>3</v>
      </c>
    </row>
    <row r="987" spans="1:16" ht="12.75">
      <c r="A987" s="83">
        <v>38148</v>
      </c>
      <c r="B987" s="80">
        <v>0.6666666666666666</v>
      </c>
      <c r="C987" s="78">
        <v>15</v>
      </c>
      <c r="D987" s="79">
        <v>8</v>
      </c>
      <c r="G987" s="83">
        <v>38148</v>
      </c>
      <c r="H987" s="80">
        <v>0.6666666666666666</v>
      </c>
      <c r="I987" s="78">
        <v>34</v>
      </c>
      <c r="J987" s="79">
        <v>0</v>
      </c>
      <c r="M987" s="83">
        <v>38148</v>
      </c>
      <c r="N987" s="80">
        <v>0.6666666666666666</v>
      </c>
      <c r="O987" s="78">
        <v>59</v>
      </c>
      <c r="P987" s="79">
        <v>3</v>
      </c>
    </row>
    <row r="988" spans="1:16" ht="12.75">
      <c r="A988" s="83">
        <v>38148</v>
      </c>
      <c r="B988" s="80">
        <v>0.7083333333333334</v>
      </c>
      <c r="C988" s="78">
        <v>17</v>
      </c>
      <c r="D988" s="79">
        <v>8</v>
      </c>
      <c r="G988" s="83">
        <v>38148</v>
      </c>
      <c r="H988" s="80">
        <v>0.7083333333333334</v>
      </c>
      <c r="I988" s="78">
        <v>29</v>
      </c>
      <c r="J988" s="79">
        <v>0</v>
      </c>
      <c r="M988" s="83">
        <v>38148</v>
      </c>
      <c r="N988" s="80">
        <v>0.7083333333333334</v>
      </c>
      <c r="O988" s="78">
        <v>53</v>
      </c>
      <c r="P988" s="79">
        <v>3</v>
      </c>
    </row>
    <row r="989" spans="1:16" ht="12.75">
      <c r="A989" s="83">
        <v>38148</v>
      </c>
      <c r="B989" s="80">
        <v>0.75</v>
      </c>
      <c r="C989" s="78">
        <v>23</v>
      </c>
      <c r="D989" s="79">
        <v>11</v>
      </c>
      <c r="G989" s="83">
        <v>38148</v>
      </c>
      <c r="H989" s="80">
        <v>0.75</v>
      </c>
      <c r="I989" s="78">
        <v>15</v>
      </c>
      <c r="J989" s="79">
        <v>0</v>
      </c>
      <c r="M989" s="83">
        <v>38148</v>
      </c>
      <c r="N989" s="80">
        <v>0.75</v>
      </c>
      <c r="O989" s="78">
        <v>50</v>
      </c>
      <c r="P989" s="79">
        <v>3</v>
      </c>
    </row>
    <row r="990" spans="1:16" ht="12.75">
      <c r="A990" s="83">
        <v>38148</v>
      </c>
      <c r="B990" s="80">
        <v>0.7916666666666666</v>
      </c>
      <c r="C990" s="78">
        <v>15</v>
      </c>
      <c r="D990" s="79">
        <v>8</v>
      </c>
      <c r="G990" s="83">
        <v>38148</v>
      </c>
      <c r="H990" s="80">
        <v>0.7916666666666666</v>
      </c>
      <c r="I990" s="78">
        <v>25</v>
      </c>
      <c r="J990" s="79">
        <v>0</v>
      </c>
      <c r="M990" s="83">
        <v>38148</v>
      </c>
      <c r="N990" s="80">
        <v>0.7916666666666666</v>
      </c>
      <c r="O990" s="78">
        <v>55</v>
      </c>
      <c r="P990" s="79">
        <v>3</v>
      </c>
    </row>
    <row r="991" spans="1:16" ht="12.75">
      <c r="A991" s="83">
        <v>38148</v>
      </c>
      <c r="B991" s="80">
        <v>0.8333333333333334</v>
      </c>
      <c r="C991" s="78">
        <v>21</v>
      </c>
      <c r="D991" s="79">
        <v>8</v>
      </c>
      <c r="G991" s="83">
        <v>38148</v>
      </c>
      <c r="H991" s="80">
        <v>0.8333333333333334</v>
      </c>
      <c r="I991" s="78">
        <v>27</v>
      </c>
      <c r="J991" s="79">
        <v>0</v>
      </c>
      <c r="M991" s="83">
        <v>38148</v>
      </c>
      <c r="N991" s="80">
        <v>0.8333333333333334</v>
      </c>
      <c r="O991" s="78">
        <v>53</v>
      </c>
      <c r="P991" s="79">
        <v>3</v>
      </c>
    </row>
    <row r="992" spans="1:16" ht="12.75">
      <c r="A992" s="83">
        <v>38148</v>
      </c>
      <c r="B992" s="80">
        <v>0.875</v>
      </c>
      <c r="C992" s="78">
        <v>17</v>
      </c>
      <c r="D992" s="79">
        <v>8</v>
      </c>
      <c r="G992" s="83">
        <v>38148</v>
      </c>
      <c r="H992" s="80">
        <v>0.875</v>
      </c>
      <c r="I992" s="78">
        <v>21</v>
      </c>
      <c r="J992" s="79">
        <v>0</v>
      </c>
      <c r="M992" s="83">
        <v>38148</v>
      </c>
      <c r="N992" s="80">
        <v>0.875</v>
      </c>
      <c r="O992" s="78">
        <v>59</v>
      </c>
      <c r="P992" s="79">
        <v>3</v>
      </c>
    </row>
    <row r="993" spans="1:16" ht="12.75">
      <c r="A993" s="83">
        <v>38148</v>
      </c>
      <c r="B993" s="80">
        <v>0.9166666666666666</v>
      </c>
      <c r="C993" s="78">
        <v>15</v>
      </c>
      <c r="D993" s="79">
        <v>8</v>
      </c>
      <c r="G993" s="83">
        <v>38148</v>
      </c>
      <c r="H993" s="80">
        <v>0.9166666666666666</v>
      </c>
      <c r="I993" s="78">
        <v>40</v>
      </c>
      <c r="J993" s="79">
        <v>0</v>
      </c>
      <c r="M993" s="83">
        <v>38148</v>
      </c>
      <c r="N993" s="80">
        <v>0.9166666666666666</v>
      </c>
      <c r="O993" s="78">
        <v>40</v>
      </c>
      <c r="P993" s="79">
        <v>3</v>
      </c>
    </row>
    <row r="994" spans="1:16" ht="12.75">
      <c r="A994" s="83">
        <v>38148</v>
      </c>
      <c r="B994" s="80">
        <v>0.9583333333333334</v>
      </c>
      <c r="C994" s="78">
        <v>23</v>
      </c>
      <c r="D994" s="79">
        <v>8</v>
      </c>
      <c r="G994" s="83">
        <v>38148</v>
      </c>
      <c r="H994" s="80">
        <v>0.9583333333333334</v>
      </c>
      <c r="I994" s="78">
        <v>19</v>
      </c>
      <c r="J994" s="79">
        <v>0</v>
      </c>
      <c r="M994" s="83">
        <v>38148</v>
      </c>
      <c r="N994" s="80">
        <v>0.9583333333333334</v>
      </c>
      <c r="O994" s="78">
        <v>15</v>
      </c>
      <c r="P994" s="79">
        <v>3</v>
      </c>
    </row>
    <row r="995" spans="1:16" ht="12.75">
      <c r="A995" s="83">
        <v>38148</v>
      </c>
      <c r="B995" s="81">
        <v>1</v>
      </c>
      <c r="C995" s="78">
        <v>10</v>
      </c>
      <c r="D995" s="79">
        <v>8</v>
      </c>
      <c r="G995" s="83">
        <v>38148</v>
      </c>
      <c r="H995" s="81">
        <v>1</v>
      </c>
      <c r="I995" s="78">
        <v>6</v>
      </c>
      <c r="J995" s="79">
        <v>0</v>
      </c>
      <c r="M995" s="83">
        <v>38148</v>
      </c>
      <c r="N995" s="81">
        <v>1</v>
      </c>
      <c r="O995" s="78">
        <v>25</v>
      </c>
      <c r="P995" s="79">
        <v>3</v>
      </c>
    </row>
    <row r="996" spans="1:16" s="92" customFormat="1" ht="12.75">
      <c r="A996" s="90">
        <v>38149</v>
      </c>
      <c r="B996" s="91">
        <v>0.041666666666666664</v>
      </c>
      <c r="C996" s="92">
        <v>13</v>
      </c>
      <c r="D996" s="92">
        <v>11</v>
      </c>
      <c r="G996" s="90">
        <v>38149</v>
      </c>
      <c r="H996" s="91">
        <v>0.041666666666666664</v>
      </c>
      <c r="I996" s="92">
        <v>6</v>
      </c>
      <c r="J996" s="92">
        <v>0</v>
      </c>
      <c r="M996" s="90">
        <v>38149</v>
      </c>
      <c r="N996" s="91">
        <v>0.041666666666666664</v>
      </c>
      <c r="O996" s="92">
        <v>38</v>
      </c>
      <c r="P996" s="92">
        <v>3</v>
      </c>
    </row>
    <row r="997" spans="1:16" ht="12.75">
      <c r="A997" s="83">
        <v>38149</v>
      </c>
      <c r="B997" s="80">
        <v>0.08333333333333333</v>
      </c>
      <c r="C997" s="78">
        <v>15</v>
      </c>
      <c r="D997" s="79">
        <v>3</v>
      </c>
      <c r="G997" s="83">
        <v>38149</v>
      </c>
      <c r="H997" s="80">
        <v>0.08333333333333333</v>
      </c>
      <c r="I997" s="78">
        <v>6</v>
      </c>
      <c r="J997" s="79">
        <v>0</v>
      </c>
      <c r="M997" s="83">
        <v>38149</v>
      </c>
      <c r="N997" s="80">
        <v>0.08333333333333333</v>
      </c>
      <c r="O997" s="78">
        <v>36</v>
      </c>
      <c r="P997" s="79">
        <v>0</v>
      </c>
    </row>
    <row r="998" spans="1:16" ht="12.75">
      <c r="A998" s="83">
        <v>38149</v>
      </c>
      <c r="B998" s="80">
        <v>0.125</v>
      </c>
      <c r="C998" s="78">
        <v>13</v>
      </c>
      <c r="D998" s="79">
        <v>11</v>
      </c>
      <c r="G998" s="83">
        <v>38149</v>
      </c>
      <c r="H998" s="80">
        <v>0.125</v>
      </c>
      <c r="I998" s="78">
        <v>4</v>
      </c>
      <c r="J998" s="79">
        <v>0</v>
      </c>
      <c r="M998" s="83">
        <v>38149</v>
      </c>
      <c r="N998" s="80">
        <v>0.125</v>
      </c>
      <c r="O998" s="78">
        <v>32</v>
      </c>
      <c r="P998" s="79">
        <v>0</v>
      </c>
    </row>
    <row r="999" spans="1:16" ht="12.75">
      <c r="A999" s="83">
        <v>38149</v>
      </c>
      <c r="B999" s="80">
        <v>0.16666666666666666</v>
      </c>
      <c r="C999" s="78">
        <v>10</v>
      </c>
      <c r="D999" s="79">
        <v>11</v>
      </c>
      <c r="G999" s="83">
        <v>38149</v>
      </c>
      <c r="H999" s="80">
        <v>0.16666666666666666</v>
      </c>
      <c r="I999" s="78">
        <v>2</v>
      </c>
      <c r="J999" s="79">
        <v>0</v>
      </c>
      <c r="M999" s="83">
        <v>38149</v>
      </c>
      <c r="N999" s="80">
        <v>0.16666666666666666</v>
      </c>
      <c r="O999" s="78">
        <v>44</v>
      </c>
      <c r="P999" s="79">
        <v>0</v>
      </c>
    </row>
    <row r="1000" spans="1:16" ht="12.75">
      <c r="A1000" s="83">
        <v>38149</v>
      </c>
      <c r="B1000" s="80">
        <v>0.20833333333333334</v>
      </c>
      <c r="C1000" s="78">
        <v>19</v>
      </c>
      <c r="D1000" s="79">
        <v>11</v>
      </c>
      <c r="G1000" s="83">
        <v>38149</v>
      </c>
      <c r="H1000" s="80">
        <v>0.20833333333333334</v>
      </c>
      <c r="I1000" s="78">
        <v>2</v>
      </c>
      <c r="J1000" s="79">
        <v>0</v>
      </c>
      <c r="M1000" s="83">
        <v>38149</v>
      </c>
      <c r="N1000" s="80">
        <v>0.20833333333333334</v>
      </c>
      <c r="O1000" s="78">
        <v>48</v>
      </c>
      <c r="P1000" s="79">
        <v>0</v>
      </c>
    </row>
    <row r="1001" spans="1:16" ht="12.75">
      <c r="A1001" s="83">
        <v>38149</v>
      </c>
      <c r="B1001" s="80">
        <v>0.25</v>
      </c>
      <c r="C1001" s="78">
        <v>25</v>
      </c>
      <c r="D1001" s="79">
        <v>13</v>
      </c>
      <c r="G1001" s="83">
        <v>38149</v>
      </c>
      <c r="H1001" s="80">
        <v>0.25</v>
      </c>
      <c r="I1001" s="78">
        <v>11</v>
      </c>
      <c r="J1001" s="79">
        <v>0</v>
      </c>
      <c r="M1001" s="83">
        <v>38149</v>
      </c>
      <c r="N1001" s="80">
        <v>0.25</v>
      </c>
      <c r="O1001" s="78">
        <v>52</v>
      </c>
      <c r="P1001" s="79">
        <v>3</v>
      </c>
    </row>
    <row r="1002" spans="1:16" ht="12.75">
      <c r="A1002" s="83">
        <v>38149</v>
      </c>
      <c r="B1002" s="80">
        <v>0.2916666666666667</v>
      </c>
      <c r="C1002" s="78">
        <v>21</v>
      </c>
      <c r="D1002" s="79">
        <v>13</v>
      </c>
      <c r="G1002" s="83">
        <v>38149</v>
      </c>
      <c r="H1002" s="80">
        <v>0.2916666666666667</v>
      </c>
      <c r="I1002" s="78">
        <v>23</v>
      </c>
      <c r="J1002" s="79">
        <v>0</v>
      </c>
      <c r="M1002" s="83">
        <v>38149</v>
      </c>
      <c r="N1002" s="80">
        <v>0.2916666666666667</v>
      </c>
      <c r="O1002" s="78">
        <v>44</v>
      </c>
      <c r="P1002" s="79">
        <v>3</v>
      </c>
    </row>
    <row r="1003" spans="1:16" ht="12.75">
      <c r="A1003" s="83">
        <v>38149</v>
      </c>
      <c r="B1003" s="80">
        <v>0.3333333333333333</v>
      </c>
      <c r="C1003" s="78">
        <v>27</v>
      </c>
      <c r="D1003" s="79">
        <v>11</v>
      </c>
      <c r="G1003" s="83">
        <v>38149</v>
      </c>
      <c r="H1003" s="80">
        <v>0.3333333333333333</v>
      </c>
      <c r="I1003" s="78">
        <v>31</v>
      </c>
      <c r="J1003" s="79">
        <v>0</v>
      </c>
      <c r="M1003" s="83">
        <v>38149</v>
      </c>
      <c r="N1003" s="80">
        <v>0.3333333333333333</v>
      </c>
      <c r="O1003" s="78">
        <v>32</v>
      </c>
      <c r="P1003" s="79">
        <v>3</v>
      </c>
    </row>
    <row r="1004" spans="1:16" ht="12.75">
      <c r="A1004" s="83">
        <v>38149</v>
      </c>
      <c r="B1004" s="80">
        <v>0.375</v>
      </c>
      <c r="C1004" s="78">
        <v>31</v>
      </c>
      <c r="D1004" s="79">
        <v>13</v>
      </c>
      <c r="G1004" s="83">
        <v>38149</v>
      </c>
      <c r="H1004" s="80">
        <v>0.375</v>
      </c>
      <c r="I1004" s="78">
        <v>34</v>
      </c>
      <c r="J1004" s="79">
        <v>0</v>
      </c>
      <c r="M1004" s="83">
        <v>38149</v>
      </c>
      <c r="N1004" s="80">
        <v>0.375</v>
      </c>
      <c r="O1004" s="78">
        <v>25</v>
      </c>
      <c r="P1004" s="79">
        <v>0</v>
      </c>
    </row>
    <row r="1005" spans="1:16" ht="12.75">
      <c r="A1005" s="83">
        <v>38149</v>
      </c>
      <c r="B1005" s="80">
        <v>0.4166666666666667</v>
      </c>
      <c r="C1005" s="78">
        <v>23</v>
      </c>
      <c r="D1005" s="79">
        <v>11</v>
      </c>
      <c r="G1005" s="83">
        <v>38149</v>
      </c>
      <c r="H1005" s="80">
        <v>0.4166666666666667</v>
      </c>
      <c r="I1005" s="78">
        <v>36</v>
      </c>
      <c r="J1005" s="79">
        <v>3</v>
      </c>
      <c r="M1005" s="83">
        <v>38149</v>
      </c>
      <c r="N1005" s="80">
        <v>0.4166666666666667</v>
      </c>
      <c r="O1005" s="78">
        <v>11</v>
      </c>
      <c r="P1005" s="79">
        <v>0</v>
      </c>
    </row>
    <row r="1006" spans="1:16" ht="12.75">
      <c r="A1006" s="83">
        <v>38149</v>
      </c>
      <c r="B1006" s="80">
        <v>0.4583333333333333</v>
      </c>
      <c r="C1006" s="78">
        <v>21</v>
      </c>
      <c r="D1006" s="79">
        <v>13</v>
      </c>
      <c r="G1006" s="83">
        <v>38149</v>
      </c>
      <c r="H1006" s="80">
        <v>0.4583333333333333</v>
      </c>
      <c r="I1006" s="78">
        <v>34</v>
      </c>
      <c r="J1006" s="79">
        <v>3</v>
      </c>
      <c r="M1006" s="83">
        <v>38149</v>
      </c>
      <c r="N1006" s="80">
        <v>0.4583333333333333</v>
      </c>
      <c r="O1006" s="78">
        <v>21</v>
      </c>
      <c r="P1006" s="79">
        <v>0</v>
      </c>
    </row>
    <row r="1007" spans="1:16" ht="12.75">
      <c r="A1007" s="83">
        <v>38149</v>
      </c>
      <c r="B1007" s="80">
        <v>0.5</v>
      </c>
      <c r="C1007" s="78">
        <v>21</v>
      </c>
      <c r="D1007" s="79">
        <v>13</v>
      </c>
      <c r="G1007" s="83">
        <v>38149</v>
      </c>
      <c r="H1007" s="80">
        <v>0.5</v>
      </c>
      <c r="I1007" s="78">
        <v>40</v>
      </c>
      <c r="J1007" s="79">
        <v>3</v>
      </c>
      <c r="M1007" s="83">
        <v>38149</v>
      </c>
      <c r="N1007" s="80">
        <v>0.5</v>
      </c>
      <c r="O1007" s="78">
        <v>21</v>
      </c>
      <c r="P1007" s="79">
        <v>0</v>
      </c>
    </row>
    <row r="1008" spans="1:16" ht="12.75">
      <c r="A1008" s="83">
        <v>38149</v>
      </c>
      <c r="B1008" s="80">
        <v>0.5416666666666666</v>
      </c>
      <c r="C1008" s="78">
        <v>19</v>
      </c>
      <c r="D1008" s="79">
        <v>11</v>
      </c>
      <c r="G1008" s="83">
        <v>38149</v>
      </c>
      <c r="H1008" s="80">
        <v>0.5416666666666666</v>
      </c>
      <c r="I1008" s="78">
        <v>38</v>
      </c>
      <c r="J1008" s="79">
        <v>3</v>
      </c>
      <c r="M1008" s="83">
        <v>38149</v>
      </c>
      <c r="N1008" s="80">
        <v>0.5416666666666666</v>
      </c>
      <c r="O1008" s="78">
        <v>27</v>
      </c>
      <c r="P1008" s="79">
        <v>0</v>
      </c>
    </row>
    <row r="1009" spans="1:16" ht="12.75">
      <c r="A1009" s="83">
        <v>38149</v>
      </c>
      <c r="B1009" s="80">
        <v>0.5833333333333334</v>
      </c>
      <c r="C1009" s="78">
        <v>19</v>
      </c>
      <c r="D1009" s="79">
        <v>11</v>
      </c>
      <c r="G1009" s="83">
        <v>38149</v>
      </c>
      <c r="H1009" s="80">
        <v>0.5833333333333334</v>
      </c>
      <c r="I1009" s="78">
        <v>42</v>
      </c>
      <c r="J1009" s="79">
        <v>0</v>
      </c>
      <c r="M1009" s="83">
        <v>38149</v>
      </c>
      <c r="N1009" s="80">
        <v>0.5833333333333334</v>
      </c>
      <c r="O1009" s="78">
        <v>36</v>
      </c>
      <c r="P1009" s="79">
        <v>3</v>
      </c>
    </row>
    <row r="1010" spans="1:16" ht="12.75">
      <c r="A1010" s="83">
        <v>38149</v>
      </c>
      <c r="B1010" s="80">
        <v>0.625</v>
      </c>
      <c r="C1010" s="78">
        <v>21</v>
      </c>
      <c r="D1010" s="79">
        <v>11</v>
      </c>
      <c r="G1010" s="83">
        <v>38149</v>
      </c>
      <c r="H1010" s="80">
        <v>0.625</v>
      </c>
      <c r="I1010" s="78">
        <v>34</v>
      </c>
      <c r="J1010" s="79">
        <v>0</v>
      </c>
      <c r="M1010" s="83">
        <v>38149</v>
      </c>
      <c r="N1010" s="80">
        <v>0.625</v>
      </c>
      <c r="O1010" s="78">
        <v>13</v>
      </c>
      <c r="P1010" s="79">
        <v>3</v>
      </c>
    </row>
    <row r="1011" spans="1:16" ht="12.75">
      <c r="A1011" s="83">
        <v>38149</v>
      </c>
      <c r="B1011" s="80">
        <v>0.6666666666666666</v>
      </c>
      <c r="C1011" s="78">
        <v>23</v>
      </c>
      <c r="D1011" s="79">
        <v>11</v>
      </c>
      <c r="G1011" s="83">
        <v>38149</v>
      </c>
      <c r="H1011" s="80">
        <v>0.6666666666666666</v>
      </c>
      <c r="I1011" s="78">
        <v>29</v>
      </c>
      <c r="J1011" s="79">
        <v>0</v>
      </c>
      <c r="M1011" s="83">
        <v>38149</v>
      </c>
      <c r="N1011" s="80">
        <v>0.6666666666666666</v>
      </c>
      <c r="O1011" s="78">
        <v>13</v>
      </c>
      <c r="P1011" s="79">
        <v>3</v>
      </c>
    </row>
    <row r="1012" spans="1:16" ht="12.75">
      <c r="A1012" s="83">
        <v>38149</v>
      </c>
      <c r="B1012" s="80">
        <v>0.7083333333333334</v>
      </c>
      <c r="C1012" s="78">
        <v>21</v>
      </c>
      <c r="D1012" s="79">
        <v>11</v>
      </c>
      <c r="G1012" s="83">
        <v>38149</v>
      </c>
      <c r="H1012" s="80">
        <v>0.7083333333333334</v>
      </c>
      <c r="I1012" s="78">
        <v>32</v>
      </c>
      <c r="J1012" s="79">
        <v>0</v>
      </c>
      <c r="M1012" s="83">
        <v>38149</v>
      </c>
      <c r="N1012" s="80">
        <v>0.7083333333333334</v>
      </c>
      <c r="O1012" s="78">
        <v>17</v>
      </c>
      <c r="P1012" s="79">
        <v>3</v>
      </c>
    </row>
    <row r="1013" spans="1:16" ht="12.75">
      <c r="A1013" s="83">
        <v>38149</v>
      </c>
      <c r="B1013" s="80">
        <v>0.75</v>
      </c>
      <c r="C1013" s="78">
        <v>23</v>
      </c>
      <c r="D1013" s="79">
        <v>11</v>
      </c>
      <c r="G1013" s="83">
        <v>38149</v>
      </c>
      <c r="H1013" s="80">
        <v>0.75</v>
      </c>
      <c r="I1013" s="78">
        <v>25</v>
      </c>
      <c r="J1013" s="79">
        <v>0</v>
      </c>
      <c r="M1013" s="83">
        <v>38149</v>
      </c>
      <c r="N1013" s="80">
        <v>0.75</v>
      </c>
      <c r="O1013" s="78">
        <v>19</v>
      </c>
      <c r="P1013" s="79">
        <v>0</v>
      </c>
    </row>
    <row r="1014" spans="1:16" ht="12.75">
      <c r="A1014" s="83">
        <v>38149</v>
      </c>
      <c r="B1014" s="80">
        <v>0.7916666666666666</v>
      </c>
      <c r="C1014" s="78">
        <v>17</v>
      </c>
      <c r="D1014" s="79">
        <v>11</v>
      </c>
      <c r="G1014" s="83">
        <v>38149</v>
      </c>
      <c r="H1014" s="80">
        <v>0.7916666666666666</v>
      </c>
      <c r="I1014" s="78">
        <v>23</v>
      </c>
      <c r="J1014" s="79">
        <v>0</v>
      </c>
      <c r="M1014" s="83">
        <v>38149</v>
      </c>
      <c r="N1014" s="80">
        <v>0.7916666666666666</v>
      </c>
      <c r="O1014" s="78">
        <v>27</v>
      </c>
      <c r="P1014" s="79">
        <v>3</v>
      </c>
    </row>
    <row r="1015" spans="1:16" ht="12.75">
      <c r="A1015" s="83">
        <v>38149</v>
      </c>
      <c r="B1015" s="80">
        <v>0.8333333333333334</v>
      </c>
      <c r="C1015" s="78">
        <v>19</v>
      </c>
      <c r="D1015" s="79">
        <v>11</v>
      </c>
      <c r="G1015" s="83">
        <v>38149</v>
      </c>
      <c r="H1015" s="80">
        <v>0.8333333333333334</v>
      </c>
      <c r="I1015" s="78">
        <v>23</v>
      </c>
      <c r="J1015" s="79">
        <v>0</v>
      </c>
      <c r="M1015" s="83">
        <v>38149</v>
      </c>
      <c r="N1015" s="80">
        <v>0.8333333333333334</v>
      </c>
      <c r="O1015" s="78">
        <v>27</v>
      </c>
      <c r="P1015" s="79">
        <v>3</v>
      </c>
    </row>
    <row r="1016" spans="1:16" ht="12.75">
      <c r="A1016" s="83">
        <v>38149</v>
      </c>
      <c r="B1016" s="80">
        <v>0.875</v>
      </c>
      <c r="C1016" s="78">
        <v>19</v>
      </c>
      <c r="D1016" s="79">
        <v>11</v>
      </c>
      <c r="G1016" s="83">
        <v>38149</v>
      </c>
      <c r="H1016" s="80">
        <v>0.875</v>
      </c>
      <c r="I1016" s="78">
        <v>25</v>
      </c>
      <c r="J1016" s="79">
        <v>0</v>
      </c>
      <c r="M1016" s="83">
        <v>38149</v>
      </c>
      <c r="N1016" s="80">
        <v>0.875</v>
      </c>
      <c r="O1016" s="78">
        <v>31</v>
      </c>
      <c r="P1016" s="79">
        <v>3</v>
      </c>
    </row>
    <row r="1017" spans="1:16" ht="12.75">
      <c r="A1017" s="83">
        <v>38149</v>
      </c>
      <c r="B1017" s="80">
        <v>0.9166666666666666</v>
      </c>
      <c r="C1017" s="78">
        <v>25</v>
      </c>
      <c r="D1017" s="79">
        <v>11</v>
      </c>
      <c r="G1017" s="83">
        <v>38149</v>
      </c>
      <c r="H1017" s="80">
        <v>0.9166666666666666</v>
      </c>
      <c r="I1017" s="78">
        <v>23</v>
      </c>
      <c r="J1017" s="79">
        <v>0</v>
      </c>
      <c r="M1017" s="83">
        <v>38149</v>
      </c>
      <c r="N1017" s="80">
        <v>0.9166666666666666</v>
      </c>
      <c r="O1017" s="78">
        <v>23</v>
      </c>
      <c r="P1017" s="79">
        <v>0</v>
      </c>
    </row>
    <row r="1018" spans="1:16" ht="12.75">
      <c r="A1018" s="83">
        <v>38149</v>
      </c>
      <c r="B1018" s="80">
        <v>0.9583333333333334</v>
      </c>
      <c r="C1018" s="78">
        <v>29</v>
      </c>
      <c r="D1018" s="79">
        <v>13</v>
      </c>
      <c r="G1018" s="83">
        <v>38149</v>
      </c>
      <c r="H1018" s="80">
        <v>0.9583333333333334</v>
      </c>
      <c r="I1018" s="78">
        <v>27</v>
      </c>
      <c r="J1018" s="79">
        <v>0</v>
      </c>
      <c r="M1018" s="83">
        <v>38149</v>
      </c>
      <c r="N1018" s="80">
        <v>0.9583333333333334</v>
      </c>
      <c r="O1018" s="78">
        <v>21</v>
      </c>
      <c r="P1018" s="79">
        <v>0</v>
      </c>
    </row>
    <row r="1019" spans="1:16" ht="12.75">
      <c r="A1019" s="83">
        <v>38149</v>
      </c>
      <c r="B1019" s="81">
        <v>1</v>
      </c>
      <c r="C1019" s="78">
        <v>29</v>
      </c>
      <c r="D1019" s="79">
        <v>13</v>
      </c>
      <c r="G1019" s="83">
        <v>38149</v>
      </c>
      <c r="H1019" s="81">
        <v>1</v>
      </c>
      <c r="I1019" s="78">
        <v>21</v>
      </c>
      <c r="J1019" s="79">
        <v>0</v>
      </c>
      <c r="M1019" s="83">
        <v>38149</v>
      </c>
      <c r="N1019" s="81">
        <v>1</v>
      </c>
      <c r="O1019" s="78">
        <v>23</v>
      </c>
      <c r="P1019" s="79">
        <v>0</v>
      </c>
    </row>
    <row r="1020" spans="1:16" s="92" customFormat="1" ht="12.75">
      <c r="A1020" s="90">
        <v>38150</v>
      </c>
      <c r="B1020" s="91">
        <v>0.041666666666666664</v>
      </c>
      <c r="C1020" s="92">
        <v>25</v>
      </c>
      <c r="D1020" s="92">
        <v>8</v>
      </c>
      <c r="G1020" s="90">
        <v>38150</v>
      </c>
      <c r="H1020" s="91">
        <v>0.041666666666666664</v>
      </c>
      <c r="I1020" s="92">
        <v>23</v>
      </c>
      <c r="J1020" s="92">
        <v>0</v>
      </c>
      <c r="M1020" s="90">
        <v>38150</v>
      </c>
      <c r="N1020" s="91">
        <v>0.041666666666666664</v>
      </c>
      <c r="O1020" s="92">
        <v>50</v>
      </c>
      <c r="P1020" s="92">
        <v>0</v>
      </c>
    </row>
    <row r="1021" spans="1:16" ht="12.75">
      <c r="A1021" s="83">
        <v>38150</v>
      </c>
      <c r="B1021" s="80">
        <v>0.08333333333333333</v>
      </c>
      <c r="C1021" s="78">
        <v>19</v>
      </c>
      <c r="D1021" s="79">
        <v>8</v>
      </c>
      <c r="G1021" s="83">
        <v>38150</v>
      </c>
      <c r="H1021" s="80">
        <v>0.08333333333333333</v>
      </c>
      <c r="I1021" s="78">
        <v>23</v>
      </c>
      <c r="J1021" s="79">
        <v>0</v>
      </c>
      <c r="M1021" s="83">
        <v>38150</v>
      </c>
      <c r="N1021" s="80">
        <v>0.08333333333333333</v>
      </c>
      <c r="O1021" s="78">
        <v>55</v>
      </c>
      <c r="P1021" s="79">
        <v>0</v>
      </c>
    </row>
    <row r="1022" spans="1:16" ht="12.75">
      <c r="A1022" s="83">
        <v>38150</v>
      </c>
      <c r="B1022" s="80">
        <v>0.125</v>
      </c>
      <c r="C1022" s="78">
        <v>19</v>
      </c>
      <c r="D1022" s="79">
        <v>5</v>
      </c>
      <c r="G1022" s="83">
        <v>38150</v>
      </c>
      <c r="H1022" s="80">
        <v>0.125</v>
      </c>
      <c r="I1022" s="78">
        <v>17</v>
      </c>
      <c r="J1022" s="79">
        <v>0</v>
      </c>
      <c r="M1022" s="83">
        <v>38150</v>
      </c>
      <c r="N1022" s="80">
        <v>0.125</v>
      </c>
      <c r="O1022" s="78">
        <v>50</v>
      </c>
      <c r="P1022" s="79">
        <v>0</v>
      </c>
    </row>
    <row r="1023" spans="1:16" ht="12.75">
      <c r="A1023" s="83">
        <v>38150</v>
      </c>
      <c r="B1023" s="80">
        <v>0.16666666666666666</v>
      </c>
      <c r="C1023" s="78">
        <v>13</v>
      </c>
      <c r="D1023" s="79">
        <v>5</v>
      </c>
      <c r="G1023" s="83">
        <v>38150</v>
      </c>
      <c r="H1023" s="80">
        <v>0.16666666666666666</v>
      </c>
      <c r="I1023" s="78">
        <v>13</v>
      </c>
      <c r="J1023" s="79">
        <v>0</v>
      </c>
      <c r="M1023" s="83">
        <v>38150</v>
      </c>
      <c r="N1023" s="80">
        <v>0.16666666666666666</v>
      </c>
      <c r="O1023" s="78">
        <v>42</v>
      </c>
      <c r="P1023" s="79">
        <v>0</v>
      </c>
    </row>
    <row r="1024" spans="1:16" ht="12.75">
      <c r="A1024" s="83">
        <v>38150</v>
      </c>
      <c r="B1024" s="80">
        <v>0.20833333333333334</v>
      </c>
      <c r="C1024" s="78">
        <v>15</v>
      </c>
      <c r="D1024" s="79">
        <v>5</v>
      </c>
      <c r="G1024" s="83">
        <v>38150</v>
      </c>
      <c r="H1024" s="80">
        <v>0.20833333333333334</v>
      </c>
      <c r="I1024" s="78">
        <v>15</v>
      </c>
      <c r="J1024" s="79">
        <v>0</v>
      </c>
      <c r="M1024" s="83">
        <v>38150</v>
      </c>
      <c r="N1024" s="80">
        <v>0.20833333333333334</v>
      </c>
      <c r="O1024" s="78">
        <v>48</v>
      </c>
      <c r="P1024" s="79">
        <v>0</v>
      </c>
    </row>
    <row r="1025" spans="1:16" ht="12.75">
      <c r="A1025" s="83">
        <v>38150</v>
      </c>
      <c r="B1025" s="80">
        <v>0.25</v>
      </c>
      <c r="C1025" s="78">
        <v>19</v>
      </c>
      <c r="D1025" s="79">
        <v>5</v>
      </c>
      <c r="G1025" s="83">
        <v>38150</v>
      </c>
      <c r="H1025" s="80">
        <v>0.25</v>
      </c>
      <c r="I1025" s="78">
        <v>19</v>
      </c>
      <c r="J1025" s="79">
        <v>0</v>
      </c>
      <c r="M1025" s="83">
        <v>38150</v>
      </c>
      <c r="N1025" s="80">
        <v>0.25</v>
      </c>
      <c r="O1025" s="78">
        <v>27</v>
      </c>
      <c r="P1025" s="79">
        <v>0</v>
      </c>
    </row>
    <row r="1026" spans="1:16" ht="12.75">
      <c r="A1026" s="83">
        <v>38150</v>
      </c>
      <c r="B1026" s="80">
        <v>0.2916666666666667</v>
      </c>
      <c r="C1026" s="78">
        <v>17</v>
      </c>
      <c r="D1026" s="79">
        <v>5</v>
      </c>
      <c r="G1026" s="83">
        <v>38150</v>
      </c>
      <c r="H1026" s="80">
        <v>0.2916666666666667</v>
      </c>
      <c r="I1026" s="78">
        <v>27</v>
      </c>
      <c r="J1026" s="79">
        <v>0</v>
      </c>
      <c r="M1026" s="83">
        <v>38150</v>
      </c>
      <c r="N1026" s="80">
        <v>0.2916666666666667</v>
      </c>
      <c r="O1026" s="78">
        <v>10</v>
      </c>
      <c r="P1026" s="79">
        <v>0</v>
      </c>
    </row>
    <row r="1027" spans="1:16" ht="12.75">
      <c r="A1027" s="83">
        <v>38150</v>
      </c>
      <c r="B1027" s="80">
        <v>0.3333333333333333</v>
      </c>
      <c r="C1027" s="78">
        <v>17</v>
      </c>
      <c r="D1027" s="79">
        <v>5</v>
      </c>
      <c r="G1027" s="83">
        <v>38150</v>
      </c>
      <c r="H1027" s="80">
        <v>0.3333333333333333</v>
      </c>
      <c r="I1027" s="78">
        <v>32</v>
      </c>
      <c r="J1027" s="79">
        <v>3</v>
      </c>
      <c r="M1027" s="83">
        <v>38150</v>
      </c>
      <c r="N1027" s="80">
        <v>0.3333333333333333</v>
      </c>
      <c r="O1027" s="78">
        <v>8</v>
      </c>
      <c r="P1027" s="79">
        <v>0</v>
      </c>
    </row>
    <row r="1028" spans="1:16" ht="12.75">
      <c r="A1028" s="83">
        <v>38150</v>
      </c>
      <c r="B1028" s="80">
        <v>0.375</v>
      </c>
      <c r="C1028" s="78">
        <v>10</v>
      </c>
      <c r="D1028" s="79">
        <v>5</v>
      </c>
      <c r="G1028" s="83">
        <v>38150</v>
      </c>
      <c r="H1028" s="80">
        <v>0.375</v>
      </c>
      <c r="I1028" s="78">
        <v>32</v>
      </c>
      <c r="J1028" s="79">
        <v>3</v>
      </c>
      <c r="M1028" s="83">
        <v>38150</v>
      </c>
      <c r="N1028" s="80">
        <v>0.375</v>
      </c>
      <c r="O1028" s="78">
        <v>6</v>
      </c>
      <c r="P1028" s="79">
        <v>0</v>
      </c>
    </row>
    <row r="1029" spans="1:16" ht="12.75">
      <c r="A1029" s="83">
        <v>38150</v>
      </c>
      <c r="B1029" s="80">
        <v>0.4166666666666667</v>
      </c>
      <c r="C1029" s="78">
        <v>10</v>
      </c>
      <c r="D1029" s="79">
        <v>5</v>
      </c>
      <c r="G1029" s="83">
        <v>38150</v>
      </c>
      <c r="H1029" s="80">
        <v>0.4166666666666667</v>
      </c>
      <c r="I1029" s="78">
        <v>27</v>
      </c>
      <c r="J1029" s="79">
        <v>0</v>
      </c>
      <c r="M1029" s="83">
        <v>38150</v>
      </c>
      <c r="N1029" s="80">
        <v>0.4166666666666667</v>
      </c>
      <c r="O1029" s="78">
        <v>6</v>
      </c>
      <c r="P1029" s="79">
        <v>0</v>
      </c>
    </row>
    <row r="1030" spans="1:16" ht="12.75">
      <c r="A1030" s="83">
        <v>38150</v>
      </c>
      <c r="B1030" s="80">
        <v>0.4583333333333333</v>
      </c>
      <c r="C1030" s="78">
        <v>10</v>
      </c>
      <c r="D1030" s="79">
        <v>5</v>
      </c>
      <c r="G1030" s="83">
        <v>38150</v>
      </c>
      <c r="H1030" s="80">
        <v>0.4583333333333333</v>
      </c>
      <c r="I1030" s="78">
        <v>23</v>
      </c>
      <c r="J1030" s="79">
        <v>0</v>
      </c>
      <c r="M1030" s="83">
        <v>38150</v>
      </c>
      <c r="N1030" s="80">
        <v>0.4583333333333333</v>
      </c>
      <c r="O1030" s="78">
        <v>8</v>
      </c>
      <c r="P1030" s="79">
        <v>0</v>
      </c>
    </row>
    <row r="1031" spans="1:16" ht="12.75">
      <c r="A1031" s="83">
        <v>38150</v>
      </c>
      <c r="B1031" s="80">
        <v>0.5</v>
      </c>
      <c r="C1031" s="78">
        <v>10</v>
      </c>
      <c r="D1031" s="79">
        <v>5</v>
      </c>
      <c r="G1031" s="83">
        <v>38150</v>
      </c>
      <c r="H1031" s="80">
        <v>0.5</v>
      </c>
      <c r="I1031" s="78">
        <v>15</v>
      </c>
      <c r="J1031" s="79">
        <v>0</v>
      </c>
      <c r="M1031" s="83">
        <v>38150</v>
      </c>
      <c r="N1031" s="80">
        <v>0.5</v>
      </c>
      <c r="O1031" s="78">
        <v>10</v>
      </c>
      <c r="P1031" s="79">
        <v>0</v>
      </c>
    </row>
    <row r="1032" spans="1:16" ht="12.75">
      <c r="A1032" s="83">
        <v>38150</v>
      </c>
      <c r="B1032" s="80">
        <v>0.5416666666666666</v>
      </c>
      <c r="C1032" s="78">
        <v>10</v>
      </c>
      <c r="D1032" s="79">
        <v>5</v>
      </c>
      <c r="G1032" s="83">
        <v>38150</v>
      </c>
      <c r="H1032" s="80">
        <v>0.5416666666666666</v>
      </c>
      <c r="I1032" s="78">
        <v>11</v>
      </c>
      <c r="J1032" s="79">
        <v>0</v>
      </c>
      <c r="M1032" s="83">
        <v>38150</v>
      </c>
      <c r="N1032" s="80">
        <v>0.5416666666666666</v>
      </c>
      <c r="O1032" s="78">
        <v>6</v>
      </c>
      <c r="P1032" s="79">
        <v>0</v>
      </c>
    </row>
    <row r="1033" spans="1:16" ht="12.75">
      <c r="A1033" s="83">
        <v>38150</v>
      </c>
      <c r="B1033" s="80">
        <v>0.5833333333333334</v>
      </c>
      <c r="C1033" s="78">
        <v>10</v>
      </c>
      <c r="D1033" s="79">
        <v>5</v>
      </c>
      <c r="G1033" s="83">
        <v>38150</v>
      </c>
      <c r="H1033" s="80">
        <v>0.5833333333333334</v>
      </c>
      <c r="I1033" s="78">
        <v>13</v>
      </c>
      <c r="J1033" s="79">
        <v>0</v>
      </c>
      <c r="M1033" s="83">
        <v>38150</v>
      </c>
      <c r="N1033" s="80">
        <v>0.5833333333333334</v>
      </c>
      <c r="O1033" s="78">
        <v>6</v>
      </c>
      <c r="P1033" s="79">
        <v>0</v>
      </c>
    </row>
    <row r="1034" spans="1:16" ht="12.75">
      <c r="A1034" s="83">
        <v>38150</v>
      </c>
      <c r="B1034" s="80">
        <v>0.625</v>
      </c>
      <c r="C1034" s="78">
        <v>8</v>
      </c>
      <c r="D1034" s="79">
        <v>5</v>
      </c>
      <c r="G1034" s="83">
        <v>38150</v>
      </c>
      <c r="H1034" s="80">
        <v>0.625</v>
      </c>
      <c r="I1034" s="78">
        <v>13</v>
      </c>
      <c r="J1034" s="79">
        <v>0</v>
      </c>
      <c r="M1034" s="83">
        <v>38150</v>
      </c>
      <c r="N1034" s="80">
        <v>0.625</v>
      </c>
      <c r="O1034" s="78">
        <v>6</v>
      </c>
      <c r="P1034" s="79">
        <v>0</v>
      </c>
    </row>
    <row r="1035" spans="1:16" ht="12.75">
      <c r="A1035" s="83">
        <v>38150</v>
      </c>
      <c r="B1035" s="80">
        <v>0.6666666666666666</v>
      </c>
      <c r="C1035" s="78">
        <v>8</v>
      </c>
      <c r="D1035" s="79">
        <v>5</v>
      </c>
      <c r="G1035" s="83">
        <v>38150</v>
      </c>
      <c r="H1035" s="80">
        <v>0.6666666666666666</v>
      </c>
      <c r="I1035" s="78">
        <v>15</v>
      </c>
      <c r="J1035" s="79">
        <v>0</v>
      </c>
      <c r="M1035" s="83">
        <v>38150</v>
      </c>
      <c r="N1035" s="80">
        <v>0.6666666666666666</v>
      </c>
      <c r="O1035" s="78">
        <v>6</v>
      </c>
      <c r="P1035" s="79">
        <v>0</v>
      </c>
    </row>
    <row r="1036" spans="1:16" ht="12.75">
      <c r="A1036" s="83">
        <v>38150</v>
      </c>
      <c r="B1036" s="80">
        <v>0.7083333333333334</v>
      </c>
      <c r="C1036" s="78">
        <v>13</v>
      </c>
      <c r="D1036" s="79">
        <v>5</v>
      </c>
      <c r="G1036" s="83">
        <v>38150</v>
      </c>
      <c r="H1036" s="80">
        <v>0.7083333333333334</v>
      </c>
      <c r="I1036" s="78">
        <v>21</v>
      </c>
      <c r="J1036" s="79">
        <v>0</v>
      </c>
      <c r="M1036" s="83">
        <v>38150</v>
      </c>
      <c r="N1036" s="80">
        <v>0.7083333333333334</v>
      </c>
      <c r="O1036" s="78">
        <v>10</v>
      </c>
      <c r="P1036" s="79">
        <v>0</v>
      </c>
    </row>
    <row r="1037" spans="1:16" ht="12.75">
      <c r="A1037" s="83">
        <v>38150</v>
      </c>
      <c r="B1037" s="80">
        <v>0.75</v>
      </c>
      <c r="C1037" s="78">
        <v>11</v>
      </c>
      <c r="D1037" s="79">
        <v>5</v>
      </c>
      <c r="G1037" s="83">
        <v>38150</v>
      </c>
      <c r="H1037" s="80">
        <v>0.75</v>
      </c>
      <c r="I1037" s="78">
        <v>32</v>
      </c>
      <c r="J1037" s="79">
        <v>3</v>
      </c>
      <c r="M1037" s="83">
        <v>38150</v>
      </c>
      <c r="N1037" s="80">
        <v>0.75</v>
      </c>
      <c r="O1037" s="78">
        <v>10</v>
      </c>
      <c r="P1037" s="79">
        <v>0</v>
      </c>
    </row>
    <row r="1038" spans="1:16" ht="12.75">
      <c r="A1038" s="83">
        <v>38150</v>
      </c>
      <c r="B1038" s="80">
        <v>0.7916666666666666</v>
      </c>
      <c r="C1038" s="78">
        <v>8</v>
      </c>
      <c r="D1038" s="79">
        <v>5</v>
      </c>
      <c r="G1038" s="83">
        <v>38150</v>
      </c>
      <c r="H1038" s="80">
        <v>0.7916666666666666</v>
      </c>
      <c r="I1038" s="78">
        <v>52</v>
      </c>
      <c r="J1038" s="79">
        <v>3</v>
      </c>
      <c r="M1038" s="83">
        <v>38150</v>
      </c>
      <c r="N1038" s="80">
        <v>0.7916666666666666</v>
      </c>
      <c r="O1038" s="78">
        <v>10</v>
      </c>
      <c r="P1038" s="79">
        <v>0</v>
      </c>
    </row>
    <row r="1039" spans="1:16" ht="12.75">
      <c r="A1039" s="83">
        <v>38150</v>
      </c>
      <c r="B1039" s="80">
        <v>0.8333333333333334</v>
      </c>
      <c r="C1039" s="78">
        <v>8</v>
      </c>
      <c r="D1039" s="79">
        <v>5</v>
      </c>
      <c r="G1039" s="83">
        <v>38150</v>
      </c>
      <c r="H1039" s="80">
        <v>0.8333333333333334</v>
      </c>
      <c r="I1039" s="78">
        <v>48</v>
      </c>
      <c r="J1039" s="79">
        <v>3</v>
      </c>
      <c r="M1039" s="83">
        <v>38150</v>
      </c>
      <c r="N1039" s="80">
        <v>0.8333333333333334</v>
      </c>
      <c r="O1039" s="78">
        <v>13</v>
      </c>
      <c r="P1039" s="79">
        <v>0</v>
      </c>
    </row>
    <row r="1040" spans="1:16" ht="12.75">
      <c r="A1040" s="83">
        <v>38150</v>
      </c>
      <c r="B1040" s="80">
        <v>0.875</v>
      </c>
      <c r="C1040" s="78">
        <v>17</v>
      </c>
      <c r="D1040" s="79">
        <v>5</v>
      </c>
      <c r="G1040" s="83">
        <v>38150</v>
      </c>
      <c r="H1040" s="80">
        <v>0.875</v>
      </c>
      <c r="I1040" s="78">
        <v>59</v>
      </c>
      <c r="J1040" s="79">
        <v>5</v>
      </c>
      <c r="M1040" s="83">
        <v>38150</v>
      </c>
      <c r="N1040" s="80">
        <v>0.875</v>
      </c>
      <c r="O1040" s="78">
        <v>17</v>
      </c>
      <c r="P1040" s="79">
        <v>0</v>
      </c>
    </row>
    <row r="1041" spans="1:16" ht="12.75">
      <c r="A1041" s="83">
        <v>38150</v>
      </c>
      <c r="B1041" s="80">
        <v>0.9166666666666666</v>
      </c>
      <c r="C1041" s="78">
        <v>32</v>
      </c>
      <c r="D1041" s="79">
        <v>5</v>
      </c>
      <c r="G1041" s="83">
        <v>38150</v>
      </c>
      <c r="H1041" s="80">
        <v>0.9166666666666666</v>
      </c>
      <c r="I1041" s="78">
        <v>59</v>
      </c>
      <c r="J1041" s="79">
        <v>3</v>
      </c>
      <c r="M1041" s="83">
        <v>38150</v>
      </c>
      <c r="N1041" s="80">
        <v>0.9166666666666666</v>
      </c>
      <c r="O1041" s="78">
        <v>21</v>
      </c>
      <c r="P1041" s="79">
        <v>0</v>
      </c>
    </row>
    <row r="1042" spans="1:16" ht="12.75">
      <c r="A1042" s="83">
        <v>38150</v>
      </c>
      <c r="B1042" s="80">
        <v>0.9583333333333334</v>
      </c>
      <c r="C1042" s="78">
        <v>36</v>
      </c>
      <c r="D1042" s="79">
        <v>5</v>
      </c>
      <c r="G1042" s="83">
        <v>38150</v>
      </c>
      <c r="H1042" s="80">
        <v>0.9583333333333334</v>
      </c>
      <c r="I1042" s="78">
        <v>65</v>
      </c>
      <c r="J1042" s="79">
        <v>3</v>
      </c>
      <c r="M1042" s="83">
        <v>38150</v>
      </c>
      <c r="N1042" s="80">
        <v>0.9583333333333334</v>
      </c>
      <c r="O1042" s="78">
        <v>23</v>
      </c>
      <c r="P1042" s="79">
        <v>0</v>
      </c>
    </row>
    <row r="1043" spans="1:16" ht="12.75">
      <c r="A1043" s="83">
        <v>38150</v>
      </c>
      <c r="B1043" s="81">
        <v>1</v>
      </c>
      <c r="C1043" s="78">
        <v>27</v>
      </c>
      <c r="D1043" s="79">
        <v>5</v>
      </c>
      <c r="G1043" s="83">
        <v>38150</v>
      </c>
      <c r="H1043" s="81">
        <v>1</v>
      </c>
      <c r="I1043" s="78">
        <v>19</v>
      </c>
      <c r="J1043" s="79">
        <v>0</v>
      </c>
      <c r="M1043" s="83">
        <v>38150</v>
      </c>
      <c r="N1043" s="81">
        <v>1</v>
      </c>
      <c r="O1043" s="78">
        <v>17</v>
      </c>
      <c r="P1043" s="79">
        <v>0</v>
      </c>
    </row>
    <row r="1044" spans="1:16" s="92" customFormat="1" ht="12.75">
      <c r="A1044" s="90">
        <v>38151</v>
      </c>
      <c r="B1044" s="91">
        <v>0.041666666666666664</v>
      </c>
      <c r="C1044" s="92">
        <v>21</v>
      </c>
      <c r="D1044" s="92">
        <v>0</v>
      </c>
      <c r="G1044" s="90">
        <v>38151</v>
      </c>
      <c r="H1044" s="91">
        <v>0.041666666666666664</v>
      </c>
      <c r="I1044" s="92">
        <v>13</v>
      </c>
      <c r="J1044" s="92">
        <v>0</v>
      </c>
      <c r="M1044" s="90">
        <v>38151</v>
      </c>
      <c r="N1044" s="91">
        <v>0.041666666666666664</v>
      </c>
      <c r="O1044" s="92">
        <v>8</v>
      </c>
      <c r="P1044" s="92">
        <v>0</v>
      </c>
    </row>
    <row r="1045" spans="1:16" ht="12.75">
      <c r="A1045" s="83">
        <v>38151</v>
      </c>
      <c r="B1045" s="80">
        <v>0.08333333333333333</v>
      </c>
      <c r="C1045" s="78">
        <v>34</v>
      </c>
      <c r="D1045" s="79">
        <v>0</v>
      </c>
      <c r="G1045" s="83">
        <v>38151</v>
      </c>
      <c r="H1045" s="80">
        <v>0.08333333333333333</v>
      </c>
      <c r="I1045" s="78">
        <v>13</v>
      </c>
      <c r="J1045" s="79">
        <v>0</v>
      </c>
      <c r="M1045" s="83">
        <v>38151</v>
      </c>
      <c r="N1045" s="80">
        <v>0.08333333333333333</v>
      </c>
      <c r="O1045" s="78">
        <v>23</v>
      </c>
      <c r="P1045" s="79">
        <v>0</v>
      </c>
    </row>
    <row r="1046" spans="1:16" ht="12.75">
      <c r="A1046" s="83">
        <v>38151</v>
      </c>
      <c r="B1046" s="80">
        <v>0.125</v>
      </c>
      <c r="C1046" s="78">
        <v>40</v>
      </c>
      <c r="D1046" s="79">
        <v>0</v>
      </c>
      <c r="G1046" s="83">
        <v>38151</v>
      </c>
      <c r="H1046" s="80">
        <v>0.125</v>
      </c>
      <c r="I1046" s="78">
        <v>8</v>
      </c>
      <c r="J1046" s="79">
        <v>0</v>
      </c>
      <c r="M1046" s="83">
        <v>38151</v>
      </c>
      <c r="N1046" s="80">
        <v>0.125</v>
      </c>
      <c r="O1046" s="78">
        <v>17</v>
      </c>
      <c r="P1046" s="79">
        <v>0</v>
      </c>
    </row>
    <row r="1047" spans="1:16" ht="12.75">
      <c r="A1047" s="83">
        <v>38151</v>
      </c>
      <c r="B1047" s="80">
        <v>0.16666666666666666</v>
      </c>
      <c r="C1047" s="78">
        <v>19</v>
      </c>
      <c r="D1047" s="79">
        <v>0</v>
      </c>
      <c r="G1047" s="83">
        <v>38151</v>
      </c>
      <c r="H1047" s="80">
        <v>0.16666666666666666</v>
      </c>
      <c r="I1047" s="78">
        <v>11</v>
      </c>
      <c r="J1047" s="79">
        <v>0</v>
      </c>
      <c r="M1047" s="83">
        <v>38151</v>
      </c>
      <c r="N1047" s="80">
        <v>0.16666666666666666</v>
      </c>
      <c r="O1047" s="78">
        <v>23</v>
      </c>
      <c r="P1047" s="79">
        <v>0</v>
      </c>
    </row>
    <row r="1048" spans="1:16" ht="12.75">
      <c r="A1048" s="83">
        <v>38151</v>
      </c>
      <c r="B1048" s="80">
        <v>0.20833333333333334</v>
      </c>
      <c r="C1048" s="78">
        <v>19</v>
      </c>
      <c r="D1048" s="79">
        <v>0</v>
      </c>
      <c r="G1048" s="83">
        <v>38151</v>
      </c>
      <c r="H1048" s="80">
        <v>0.20833333333333334</v>
      </c>
      <c r="I1048" s="78">
        <v>6</v>
      </c>
      <c r="J1048" s="79">
        <v>0</v>
      </c>
      <c r="M1048" s="83">
        <v>38151</v>
      </c>
      <c r="N1048" s="80">
        <v>0.20833333333333334</v>
      </c>
      <c r="O1048" s="78">
        <v>36</v>
      </c>
      <c r="P1048" s="79">
        <v>0</v>
      </c>
    </row>
    <row r="1049" spans="1:16" ht="12.75">
      <c r="A1049" s="83">
        <v>38151</v>
      </c>
      <c r="B1049" s="80">
        <v>0.25</v>
      </c>
      <c r="C1049" s="78">
        <v>23</v>
      </c>
      <c r="D1049" s="79">
        <v>0</v>
      </c>
      <c r="G1049" s="83">
        <v>38151</v>
      </c>
      <c r="H1049" s="80">
        <v>0.25</v>
      </c>
      <c r="I1049" s="78">
        <v>6</v>
      </c>
      <c r="J1049" s="79">
        <v>0</v>
      </c>
      <c r="M1049" s="83">
        <v>38151</v>
      </c>
      <c r="N1049" s="80">
        <v>0.25</v>
      </c>
      <c r="O1049" s="78">
        <v>27</v>
      </c>
      <c r="P1049" s="79">
        <v>0</v>
      </c>
    </row>
    <row r="1050" spans="1:16" ht="12.75">
      <c r="A1050" s="83">
        <v>38151</v>
      </c>
      <c r="B1050" s="80">
        <v>0.2916666666666667</v>
      </c>
      <c r="C1050" s="78">
        <v>13</v>
      </c>
      <c r="D1050" s="79">
        <v>0</v>
      </c>
      <c r="G1050" s="83">
        <v>38151</v>
      </c>
      <c r="H1050" s="80">
        <v>0.2916666666666667</v>
      </c>
      <c r="I1050" s="78">
        <v>8</v>
      </c>
      <c r="J1050" s="79">
        <v>3</v>
      </c>
      <c r="M1050" s="83">
        <v>38151</v>
      </c>
      <c r="N1050" s="80">
        <v>0.2916666666666667</v>
      </c>
      <c r="O1050" s="78">
        <v>13</v>
      </c>
      <c r="P1050" s="79">
        <v>3</v>
      </c>
    </row>
    <row r="1051" spans="1:16" ht="12.75">
      <c r="A1051" s="83">
        <v>38151</v>
      </c>
      <c r="B1051" s="80">
        <v>0.3333333333333333</v>
      </c>
      <c r="C1051" s="78">
        <v>13</v>
      </c>
      <c r="D1051" s="79">
        <v>0</v>
      </c>
      <c r="G1051" s="83">
        <v>38151</v>
      </c>
      <c r="H1051" s="80">
        <v>0.3333333333333333</v>
      </c>
      <c r="I1051" s="78">
        <v>11</v>
      </c>
      <c r="J1051" s="79">
        <v>3</v>
      </c>
      <c r="M1051" s="83">
        <v>38151</v>
      </c>
      <c r="N1051" s="80">
        <v>0.3333333333333333</v>
      </c>
      <c r="O1051" s="78">
        <v>13</v>
      </c>
      <c r="P1051" s="79">
        <v>3</v>
      </c>
    </row>
    <row r="1052" spans="1:16" ht="12.75">
      <c r="A1052" s="83">
        <v>38151</v>
      </c>
      <c r="B1052" s="80">
        <v>0.375</v>
      </c>
      <c r="C1052" s="78">
        <v>6</v>
      </c>
      <c r="D1052" s="79">
        <v>0</v>
      </c>
      <c r="G1052" s="83">
        <v>38151</v>
      </c>
      <c r="H1052" s="80">
        <v>0.375</v>
      </c>
      <c r="I1052" s="78">
        <v>15</v>
      </c>
      <c r="J1052" s="79">
        <v>0</v>
      </c>
      <c r="M1052" s="83">
        <v>38151</v>
      </c>
      <c r="N1052" s="80">
        <v>0.375</v>
      </c>
      <c r="O1052" s="78">
        <v>13</v>
      </c>
      <c r="P1052" s="79">
        <v>5</v>
      </c>
    </row>
    <row r="1053" spans="1:16" ht="12.75">
      <c r="A1053" s="83">
        <v>38151</v>
      </c>
      <c r="B1053" s="80">
        <v>0.4166666666666667</v>
      </c>
      <c r="C1053" s="78">
        <v>10</v>
      </c>
      <c r="D1053" s="79">
        <v>0</v>
      </c>
      <c r="G1053" s="83">
        <v>38151</v>
      </c>
      <c r="H1053" s="80">
        <v>0.4166666666666667</v>
      </c>
      <c r="I1053" s="78">
        <v>15</v>
      </c>
      <c r="J1053" s="79">
        <v>0</v>
      </c>
      <c r="M1053" s="83">
        <v>38151</v>
      </c>
      <c r="N1053" s="80">
        <v>0.4166666666666667</v>
      </c>
      <c r="O1053" s="78">
        <v>6</v>
      </c>
      <c r="P1053" s="79">
        <v>0</v>
      </c>
    </row>
    <row r="1054" spans="1:16" ht="12.75">
      <c r="A1054" s="83">
        <v>38151</v>
      </c>
      <c r="B1054" s="80">
        <v>0.4583333333333333</v>
      </c>
      <c r="C1054" s="78">
        <v>10</v>
      </c>
      <c r="D1054" s="79">
        <v>0</v>
      </c>
      <c r="G1054" s="83">
        <v>38151</v>
      </c>
      <c r="H1054" s="80">
        <v>0.4583333333333333</v>
      </c>
      <c r="I1054" s="78">
        <v>13</v>
      </c>
      <c r="J1054" s="79">
        <v>0</v>
      </c>
      <c r="M1054" s="83">
        <v>38151</v>
      </c>
      <c r="N1054" s="80">
        <v>0.4583333333333333</v>
      </c>
      <c r="O1054" s="78">
        <v>6</v>
      </c>
      <c r="P1054" s="79">
        <v>0</v>
      </c>
    </row>
    <row r="1055" spans="1:16" ht="12.75">
      <c r="A1055" s="83">
        <v>38151</v>
      </c>
      <c r="B1055" s="80">
        <v>0.5</v>
      </c>
      <c r="C1055" s="78">
        <v>8</v>
      </c>
      <c r="D1055" s="79">
        <v>0</v>
      </c>
      <c r="G1055" s="83">
        <v>38151</v>
      </c>
      <c r="H1055" s="80">
        <v>0.5</v>
      </c>
      <c r="I1055" s="78">
        <v>15</v>
      </c>
      <c r="J1055" s="79">
        <v>3</v>
      </c>
      <c r="M1055" s="83">
        <v>38151</v>
      </c>
      <c r="N1055" s="80">
        <v>0.5</v>
      </c>
      <c r="O1055" s="78">
        <v>4</v>
      </c>
      <c r="P1055" s="79">
        <v>0</v>
      </c>
    </row>
    <row r="1056" spans="1:16" ht="12.75">
      <c r="A1056" s="83">
        <v>38151</v>
      </c>
      <c r="B1056" s="80">
        <v>0.5416666666666666</v>
      </c>
      <c r="C1056" s="78">
        <v>13</v>
      </c>
      <c r="D1056" s="79">
        <v>3</v>
      </c>
      <c r="G1056" s="83">
        <v>38151</v>
      </c>
      <c r="H1056" s="80">
        <v>0.5416666666666666</v>
      </c>
      <c r="I1056" s="78">
        <v>10</v>
      </c>
      <c r="J1056" s="79">
        <v>3</v>
      </c>
      <c r="M1056" s="83">
        <v>38151</v>
      </c>
      <c r="N1056" s="80">
        <v>0.5416666666666666</v>
      </c>
      <c r="O1056" s="78">
        <v>6</v>
      </c>
      <c r="P1056" s="79">
        <v>0</v>
      </c>
    </row>
    <row r="1057" spans="1:16" ht="12.75">
      <c r="A1057" s="83">
        <v>38151</v>
      </c>
      <c r="B1057" s="80">
        <v>0.5833333333333334</v>
      </c>
      <c r="C1057" s="78">
        <v>13</v>
      </c>
      <c r="D1057" s="79">
        <v>3</v>
      </c>
      <c r="G1057" s="83">
        <v>38151</v>
      </c>
      <c r="H1057" s="80">
        <v>0.5833333333333334</v>
      </c>
      <c r="I1057" s="78">
        <v>11</v>
      </c>
      <c r="J1057" s="79">
        <v>0</v>
      </c>
      <c r="M1057" s="83">
        <v>38151</v>
      </c>
      <c r="N1057" s="80">
        <v>0.5833333333333334</v>
      </c>
      <c r="O1057" s="78">
        <v>4</v>
      </c>
      <c r="P1057" s="79">
        <v>0</v>
      </c>
    </row>
    <row r="1058" spans="1:16" ht="12.75">
      <c r="A1058" s="83">
        <v>38151</v>
      </c>
      <c r="B1058" s="80">
        <v>0.625</v>
      </c>
      <c r="C1058" s="78">
        <v>15</v>
      </c>
      <c r="D1058" s="79">
        <v>3</v>
      </c>
      <c r="G1058" s="83">
        <v>38151</v>
      </c>
      <c r="H1058" s="80">
        <v>0.625</v>
      </c>
      <c r="I1058" s="78">
        <v>11</v>
      </c>
      <c r="J1058" s="79">
        <v>0</v>
      </c>
      <c r="M1058" s="83">
        <v>38151</v>
      </c>
      <c r="N1058" s="80">
        <v>0.625</v>
      </c>
      <c r="O1058" s="78">
        <v>6</v>
      </c>
      <c r="P1058" s="79">
        <v>0</v>
      </c>
    </row>
    <row r="1059" spans="1:16" ht="12.75">
      <c r="A1059" s="83">
        <v>38151</v>
      </c>
      <c r="B1059" s="80">
        <v>0.6666666666666666</v>
      </c>
      <c r="C1059" s="78">
        <v>17</v>
      </c>
      <c r="D1059" s="79">
        <v>3</v>
      </c>
      <c r="G1059" s="83">
        <v>38151</v>
      </c>
      <c r="H1059" s="80">
        <v>0.6666666666666666</v>
      </c>
      <c r="I1059" s="78">
        <v>11</v>
      </c>
      <c r="J1059" s="79">
        <v>0</v>
      </c>
      <c r="M1059" s="83">
        <v>38151</v>
      </c>
      <c r="N1059" s="80">
        <v>0.6666666666666666</v>
      </c>
      <c r="O1059" s="78">
        <v>6</v>
      </c>
      <c r="P1059" s="79">
        <v>0</v>
      </c>
    </row>
    <row r="1060" spans="1:16" ht="12.75">
      <c r="A1060" s="83">
        <v>38151</v>
      </c>
      <c r="B1060" s="80">
        <v>0.7083333333333334</v>
      </c>
      <c r="C1060" s="78">
        <v>13</v>
      </c>
      <c r="D1060" s="79">
        <v>3</v>
      </c>
      <c r="G1060" s="83">
        <v>38151</v>
      </c>
      <c r="H1060" s="80">
        <v>0.7083333333333334</v>
      </c>
      <c r="I1060" s="78">
        <v>13</v>
      </c>
      <c r="J1060" s="79">
        <v>0</v>
      </c>
      <c r="M1060" s="83">
        <v>38151</v>
      </c>
      <c r="N1060" s="80">
        <v>0.7083333333333334</v>
      </c>
      <c r="O1060" s="78">
        <v>6</v>
      </c>
      <c r="P1060" s="79">
        <v>0</v>
      </c>
    </row>
    <row r="1061" spans="1:16" ht="12.75">
      <c r="A1061" s="83">
        <v>38151</v>
      </c>
      <c r="B1061" s="80">
        <v>0.75</v>
      </c>
      <c r="C1061" s="78">
        <v>13</v>
      </c>
      <c r="D1061" s="79">
        <v>3</v>
      </c>
      <c r="G1061" s="83">
        <v>38151</v>
      </c>
      <c r="H1061" s="80">
        <v>0.75</v>
      </c>
      <c r="I1061" s="78">
        <v>11</v>
      </c>
      <c r="J1061" s="79">
        <v>0</v>
      </c>
      <c r="M1061" s="83">
        <v>38151</v>
      </c>
      <c r="N1061" s="80">
        <v>0.75</v>
      </c>
      <c r="O1061" s="78">
        <v>8</v>
      </c>
      <c r="P1061" s="79">
        <v>0</v>
      </c>
    </row>
    <row r="1062" spans="1:16" ht="12.75">
      <c r="A1062" s="83">
        <v>38151</v>
      </c>
      <c r="B1062" s="80">
        <v>0.7916666666666666</v>
      </c>
      <c r="C1062" s="78">
        <v>11</v>
      </c>
      <c r="D1062" s="79">
        <v>3</v>
      </c>
      <c r="G1062" s="83">
        <v>38151</v>
      </c>
      <c r="H1062" s="80">
        <v>0.7916666666666666</v>
      </c>
      <c r="I1062" s="78">
        <v>13</v>
      </c>
      <c r="J1062" s="79">
        <v>0</v>
      </c>
      <c r="M1062" s="83">
        <v>38151</v>
      </c>
      <c r="N1062" s="80">
        <v>0.7916666666666666</v>
      </c>
      <c r="O1062" s="78">
        <v>8</v>
      </c>
      <c r="P1062" s="79">
        <v>0</v>
      </c>
    </row>
    <row r="1063" spans="1:16" ht="12.75">
      <c r="A1063" s="83">
        <v>38151</v>
      </c>
      <c r="B1063" s="80">
        <v>0.8333333333333334</v>
      </c>
      <c r="C1063" s="78">
        <v>11</v>
      </c>
      <c r="D1063" s="79">
        <v>3</v>
      </c>
      <c r="G1063" s="83">
        <v>38151</v>
      </c>
      <c r="H1063" s="80">
        <v>0.8333333333333334</v>
      </c>
      <c r="I1063" s="78">
        <v>11</v>
      </c>
      <c r="J1063" s="79">
        <v>0</v>
      </c>
      <c r="M1063" s="83">
        <v>38151</v>
      </c>
      <c r="N1063" s="80">
        <v>0.8333333333333334</v>
      </c>
      <c r="O1063" s="78">
        <v>17</v>
      </c>
      <c r="P1063" s="79">
        <v>0</v>
      </c>
    </row>
    <row r="1064" spans="1:16" ht="12.75">
      <c r="A1064" s="83">
        <v>38151</v>
      </c>
      <c r="B1064" s="80">
        <v>0.875</v>
      </c>
      <c r="C1064" s="78">
        <v>11</v>
      </c>
      <c r="D1064" s="79">
        <v>3</v>
      </c>
      <c r="G1064" s="83">
        <v>38151</v>
      </c>
      <c r="H1064" s="80">
        <v>0.875</v>
      </c>
      <c r="I1064" s="78">
        <v>11</v>
      </c>
      <c r="J1064" s="79">
        <v>0</v>
      </c>
      <c r="M1064" s="83">
        <v>38151</v>
      </c>
      <c r="N1064" s="80">
        <v>0.875</v>
      </c>
      <c r="O1064" s="78">
        <v>40</v>
      </c>
      <c r="P1064" s="79">
        <v>0</v>
      </c>
    </row>
    <row r="1065" spans="1:16" ht="12.75">
      <c r="A1065" s="83">
        <v>38151</v>
      </c>
      <c r="B1065" s="80">
        <v>0.9166666666666666</v>
      </c>
      <c r="C1065" s="78">
        <v>19</v>
      </c>
      <c r="D1065" s="79">
        <v>3</v>
      </c>
      <c r="G1065" s="83">
        <v>38151</v>
      </c>
      <c r="H1065" s="80">
        <v>0.9166666666666666</v>
      </c>
      <c r="I1065" s="78">
        <v>11</v>
      </c>
      <c r="J1065" s="79">
        <v>0</v>
      </c>
      <c r="M1065" s="83">
        <v>38151</v>
      </c>
      <c r="N1065" s="80">
        <v>0.9166666666666666</v>
      </c>
      <c r="O1065" s="78">
        <v>48</v>
      </c>
      <c r="P1065" s="79">
        <v>0</v>
      </c>
    </row>
    <row r="1066" spans="1:16" ht="12.75">
      <c r="A1066" s="83">
        <v>38151</v>
      </c>
      <c r="B1066" s="80">
        <v>0.9583333333333334</v>
      </c>
      <c r="C1066" s="78">
        <v>13</v>
      </c>
      <c r="D1066" s="79">
        <v>3</v>
      </c>
      <c r="G1066" s="83">
        <v>38151</v>
      </c>
      <c r="H1066" s="80">
        <v>0.9583333333333334</v>
      </c>
      <c r="I1066" s="78">
        <v>15</v>
      </c>
      <c r="J1066" s="79">
        <v>0</v>
      </c>
      <c r="M1066" s="83">
        <v>38151</v>
      </c>
      <c r="N1066" s="80">
        <v>0.9583333333333334</v>
      </c>
      <c r="O1066" s="78">
        <v>55</v>
      </c>
      <c r="P1066" s="79">
        <v>0</v>
      </c>
    </row>
    <row r="1067" spans="1:16" ht="12.75">
      <c r="A1067" s="83">
        <v>38151</v>
      </c>
      <c r="B1067" s="81">
        <v>1</v>
      </c>
      <c r="C1067" s="78">
        <v>10</v>
      </c>
      <c r="D1067" s="79">
        <v>0</v>
      </c>
      <c r="G1067" s="83">
        <v>38151</v>
      </c>
      <c r="H1067" s="81">
        <v>1</v>
      </c>
      <c r="I1067" s="78">
        <v>10</v>
      </c>
      <c r="J1067" s="79">
        <v>0</v>
      </c>
      <c r="M1067" s="83">
        <v>38151</v>
      </c>
      <c r="N1067" s="81">
        <v>1</v>
      </c>
      <c r="O1067" s="78">
        <v>55</v>
      </c>
      <c r="P1067" s="79">
        <v>0</v>
      </c>
    </row>
    <row r="1068" spans="1:16" s="92" customFormat="1" ht="12.75">
      <c r="A1068" s="90">
        <v>38152</v>
      </c>
      <c r="B1068" s="91">
        <v>0.041666666666666664</v>
      </c>
      <c r="C1068" s="92">
        <v>10</v>
      </c>
      <c r="D1068" s="92">
        <v>0</v>
      </c>
      <c r="G1068" s="90">
        <v>38152</v>
      </c>
      <c r="H1068" s="91">
        <v>0.041666666666666664</v>
      </c>
      <c r="I1068" s="92">
        <v>6</v>
      </c>
      <c r="J1068" s="92">
        <v>0</v>
      </c>
      <c r="M1068" s="90">
        <v>38152</v>
      </c>
      <c r="N1068" s="91">
        <v>0.041666666666666664</v>
      </c>
      <c r="O1068" s="92">
        <v>44</v>
      </c>
      <c r="P1068" s="92">
        <v>0</v>
      </c>
    </row>
    <row r="1069" spans="1:16" ht="12.75">
      <c r="A1069" s="83">
        <v>38152</v>
      </c>
      <c r="B1069" s="80">
        <v>0.08333333333333333</v>
      </c>
      <c r="C1069" s="78">
        <v>10</v>
      </c>
      <c r="D1069" s="79">
        <v>0</v>
      </c>
      <c r="G1069" s="83">
        <v>38152</v>
      </c>
      <c r="H1069" s="80">
        <v>0.08333333333333333</v>
      </c>
      <c r="I1069" s="78">
        <v>2</v>
      </c>
      <c r="J1069" s="79">
        <v>0</v>
      </c>
      <c r="M1069" s="83">
        <v>38152</v>
      </c>
      <c r="N1069" s="80">
        <v>0.08333333333333333</v>
      </c>
      <c r="O1069" s="78">
        <v>32</v>
      </c>
      <c r="P1069" s="79">
        <v>0</v>
      </c>
    </row>
    <row r="1070" spans="1:16" ht="12.75">
      <c r="A1070" s="83">
        <v>38152</v>
      </c>
      <c r="B1070" s="80">
        <v>0.125</v>
      </c>
      <c r="C1070" s="78">
        <v>13</v>
      </c>
      <c r="D1070" s="79">
        <v>0</v>
      </c>
      <c r="G1070" s="83">
        <v>38152</v>
      </c>
      <c r="H1070" s="80">
        <v>0.125</v>
      </c>
      <c r="I1070" s="78">
        <v>0</v>
      </c>
      <c r="J1070" s="79">
        <v>0</v>
      </c>
      <c r="M1070" s="83">
        <v>38152</v>
      </c>
      <c r="N1070" s="80">
        <v>0.125</v>
      </c>
      <c r="O1070" s="78">
        <v>32</v>
      </c>
      <c r="P1070" s="79">
        <v>0</v>
      </c>
    </row>
    <row r="1071" spans="1:16" ht="12.75">
      <c r="A1071" s="83">
        <v>38152</v>
      </c>
      <c r="B1071" s="80">
        <v>0.16666666666666666</v>
      </c>
      <c r="C1071" s="78">
        <v>13</v>
      </c>
      <c r="D1071" s="79">
        <v>0</v>
      </c>
      <c r="G1071" s="83">
        <v>38152</v>
      </c>
      <c r="H1071" s="80">
        <v>0.16666666666666666</v>
      </c>
      <c r="I1071" s="78">
        <v>0</v>
      </c>
      <c r="J1071" s="79">
        <v>0</v>
      </c>
      <c r="M1071" s="83">
        <v>38152</v>
      </c>
      <c r="N1071" s="80">
        <v>0.16666666666666666</v>
      </c>
      <c r="O1071" s="78">
        <v>34</v>
      </c>
      <c r="P1071" s="79">
        <v>0</v>
      </c>
    </row>
    <row r="1072" spans="1:16" ht="12.75">
      <c r="A1072" s="83">
        <v>38152</v>
      </c>
      <c r="B1072" s="80">
        <v>0.20833333333333334</v>
      </c>
      <c r="C1072" s="78">
        <v>15</v>
      </c>
      <c r="D1072" s="79">
        <v>0</v>
      </c>
      <c r="G1072" s="83">
        <v>38152</v>
      </c>
      <c r="H1072" s="80">
        <v>0.20833333333333334</v>
      </c>
      <c r="I1072" s="78">
        <v>2</v>
      </c>
      <c r="J1072" s="79">
        <v>0</v>
      </c>
      <c r="M1072" s="83">
        <v>38152</v>
      </c>
      <c r="N1072" s="80">
        <v>0.20833333333333334</v>
      </c>
      <c r="O1072" s="78">
        <v>34</v>
      </c>
      <c r="P1072" s="79">
        <v>0</v>
      </c>
    </row>
    <row r="1073" spans="1:16" ht="12.75">
      <c r="A1073" s="83">
        <v>38152</v>
      </c>
      <c r="B1073" s="80">
        <v>0.25</v>
      </c>
      <c r="C1073" s="78">
        <v>15</v>
      </c>
      <c r="D1073" s="79">
        <v>3</v>
      </c>
      <c r="G1073" s="83">
        <v>38152</v>
      </c>
      <c r="H1073" s="80">
        <v>0.25</v>
      </c>
      <c r="I1073" s="78">
        <v>6</v>
      </c>
      <c r="J1073" s="79">
        <v>0</v>
      </c>
      <c r="M1073" s="83">
        <v>38152</v>
      </c>
      <c r="N1073" s="80">
        <v>0.25</v>
      </c>
      <c r="O1073" s="78">
        <v>34</v>
      </c>
      <c r="P1073" s="79">
        <v>0</v>
      </c>
    </row>
    <row r="1074" spans="1:16" ht="12.75">
      <c r="A1074" s="83">
        <v>38152</v>
      </c>
      <c r="B1074" s="80">
        <v>0.2916666666666667</v>
      </c>
      <c r="C1074" s="78">
        <v>11</v>
      </c>
      <c r="D1074" s="79">
        <v>3</v>
      </c>
      <c r="G1074" s="83">
        <v>38152</v>
      </c>
      <c r="H1074" s="80">
        <v>0.2916666666666667</v>
      </c>
      <c r="I1074" s="78">
        <v>19</v>
      </c>
      <c r="J1074" s="79">
        <v>0</v>
      </c>
      <c r="M1074" s="83">
        <v>38152</v>
      </c>
      <c r="N1074" s="80">
        <v>0.2916666666666667</v>
      </c>
      <c r="O1074" s="78">
        <v>38</v>
      </c>
      <c r="P1074" s="79">
        <v>3</v>
      </c>
    </row>
    <row r="1075" spans="1:16" ht="12.75">
      <c r="A1075" s="83">
        <v>38152</v>
      </c>
      <c r="B1075" s="80">
        <v>0.3333333333333333</v>
      </c>
      <c r="C1075" s="78">
        <v>13</v>
      </c>
      <c r="D1075" s="79">
        <v>3</v>
      </c>
      <c r="G1075" s="83">
        <v>38152</v>
      </c>
      <c r="H1075" s="80">
        <v>0.3333333333333333</v>
      </c>
      <c r="I1075" s="78">
        <v>27</v>
      </c>
      <c r="J1075" s="79">
        <v>0</v>
      </c>
      <c r="M1075" s="83">
        <v>38152</v>
      </c>
      <c r="N1075" s="80">
        <v>0.3333333333333333</v>
      </c>
      <c r="O1075" s="78">
        <v>38</v>
      </c>
      <c r="P1075" s="79">
        <v>3</v>
      </c>
    </row>
    <row r="1076" spans="1:16" ht="12.75">
      <c r="A1076" s="83">
        <v>38152</v>
      </c>
      <c r="B1076" s="80">
        <v>0.375</v>
      </c>
      <c r="C1076" s="78">
        <v>11</v>
      </c>
      <c r="D1076" s="79">
        <v>3</v>
      </c>
      <c r="G1076" s="83">
        <v>38152</v>
      </c>
      <c r="H1076" s="80">
        <v>0.375</v>
      </c>
      <c r="I1076" s="78">
        <v>23</v>
      </c>
      <c r="J1076" s="79">
        <v>0</v>
      </c>
      <c r="M1076" s="83">
        <v>38152</v>
      </c>
      <c r="N1076" s="80">
        <v>0.375</v>
      </c>
      <c r="O1076" s="78">
        <v>44</v>
      </c>
      <c r="P1076" s="79">
        <v>5</v>
      </c>
    </row>
    <row r="1077" spans="1:16" ht="12.75">
      <c r="A1077" s="83">
        <v>38152</v>
      </c>
      <c r="B1077" s="80">
        <v>0.4166666666666667</v>
      </c>
      <c r="C1077" s="78">
        <v>11</v>
      </c>
      <c r="D1077" s="79">
        <v>3</v>
      </c>
      <c r="G1077" s="83">
        <v>38152</v>
      </c>
      <c r="H1077" s="80">
        <v>0.4166666666666667</v>
      </c>
      <c r="I1077" s="78">
        <v>21</v>
      </c>
      <c r="J1077" s="79">
        <v>0</v>
      </c>
      <c r="M1077" s="83">
        <v>38152</v>
      </c>
      <c r="N1077" s="80">
        <v>0.4166666666666667</v>
      </c>
      <c r="O1077" s="78">
        <v>21</v>
      </c>
      <c r="P1077" s="79">
        <v>3</v>
      </c>
    </row>
    <row r="1078" spans="1:16" ht="12.75">
      <c r="A1078" s="83">
        <v>38152</v>
      </c>
      <c r="B1078" s="80">
        <v>0.4583333333333333</v>
      </c>
      <c r="C1078" s="78">
        <v>11</v>
      </c>
      <c r="D1078" s="79">
        <v>3</v>
      </c>
      <c r="G1078" s="83">
        <v>38152</v>
      </c>
      <c r="H1078" s="80">
        <v>0.4583333333333333</v>
      </c>
      <c r="I1078" s="78">
        <v>31</v>
      </c>
      <c r="J1078" s="79">
        <v>0</v>
      </c>
      <c r="M1078" s="83">
        <v>38152</v>
      </c>
      <c r="N1078" s="80">
        <v>0.4583333333333333</v>
      </c>
      <c r="O1078" s="78">
        <v>10</v>
      </c>
      <c r="P1078" s="79">
        <v>0</v>
      </c>
    </row>
    <row r="1079" spans="1:16" ht="12.75">
      <c r="A1079" s="83">
        <v>38152</v>
      </c>
      <c r="B1079" s="80">
        <v>0.5</v>
      </c>
      <c r="C1079" s="78">
        <v>10</v>
      </c>
      <c r="D1079" s="79">
        <v>3</v>
      </c>
      <c r="G1079" s="83">
        <v>38152</v>
      </c>
      <c r="H1079" s="80">
        <v>0.5</v>
      </c>
      <c r="I1079" s="78">
        <v>29</v>
      </c>
      <c r="J1079" s="79">
        <v>0</v>
      </c>
      <c r="M1079" s="83">
        <v>38152</v>
      </c>
      <c r="N1079" s="80">
        <v>0.5</v>
      </c>
      <c r="O1079" s="78">
        <v>10</v>
      </c>
      <c r="P1079" s="79">
        <v>0</v>
      </c>
    </row>
    <row r="1080" spans="1:16" ht="12.75">
      <c r="A1080" s="83">
        <v>38152</v>
      </c>
      <c r="B1080" s="80">
        <v>0.5416666666666666</v>
      </c>
      <c r="C1080" s="78">
        <v>10</v>
      </c>
      <c r="D1080" s="79">
        <v>3</v>
      </c>
      <c r="G1080" s="83">
        <v>38152</v>
      </c>
      <c r="H1080" s="80">
        <v>0.5416666666666666</v>
      </c>
      <c r="I1080" s="78">
        <v>21</v>
      </c>
      <c r="J1080" s="79">
        <v>0</v>
      </c>
      <c r="M1080" s="83">
        <v>38152</v>
      </c>
      <c r="N1080" s="80">
        <v>0.5416666666666666</v>
      </c>
      <c r="O1080" s="78">
        <v>8</v>
      </c>
      <c r="P1080" s="79">
        <v>0</v>
      </c>
    </row>
    <row r="1081" spans="1:16" ht="12.75">
      <c r="A1081" s="83">
        <v>38152</v>
      </c>
      <c r="B1081" s="80">
        <v>0.5833333333333334</v>
      </c>
      <c r="C1081" s="78">
        <v>11</v>
      </c>
      <c r="D1081" s="79">
        <v>3</v>
      </c>
      <c r="G1081" s="83">
        <v>38152</v>
      </c>
      <c r="H1081" s="80">
        <v>0.5833333333333334</v>
      </c>
      <c r="I1081" s="78">
        <v>19</v>
      </c>
      <c r="J1081" s="79">
        <v>0</v>
      </c>
      <c r="M1081" s="83">
        <v>38152</v>
      </c>
      <c r="N1081" s="80">
        <v>0.5833333333333334</v>
      </c>
      <c r="O1081" s="78">
        <v>6</v>
      </c>
      <c r="P1081" s="79">
        <v>0</v>
      </c>
    </row>
    <row r="1082" spans="1:16" ht="12.75">
      <c r="A1082" s="83">
        <v>38152</v>
      </c>
      <c r="B1082" s="80">
        <v>0.625</v>
      </c>
      <c r="C1082" s="78">
        <v>10</v>
      </c>
      <c r="D1082" s="79">
        <v>3</v>
      </c>
      <c r="G1082" s="83">
        <v>38152</v>
      </c>
      <c r="H1082" s="80">
        <v>0.625</v>
      </c>
      <c r="I1082" s="78">
        <v>19</v>
      </c>
      <c r="J1082" s="79">
        <v>0</v>
      </c>
      <c r="M1082" s="83">
        <v>38152</v>
      </c>
      <c r="N1082" s="80">
        <v>0.625</v>
      </c>
      <c r="O1082" s="78">
        <v>10</v>
      </c>
      <c r="P1082" s="79">
        <v>0</v>
      </c>
    </row>
    <row r="1083" spans="1:16" ht="12.75">
      <c r="A1083" s="83">
        <v>38152</v>
      </c>
      <c r="B1083" s="80">
        <v>0.6666666666666666</v>
      </c>
      <c r="C1083" s="78">
        <v>13</v>
      </c>
      <c r="D1083" s="79">
        <v>5</v>
      </c>
      <c r="G1083" s="83">
        <v>38152</v>
      </c>
      <c r="H1083" s="80">
        <v>0.6666666666666666</v>
      </c>
      <c r="I1083" s="78">
        <v>23</v>
      </c>
      <c r="J1083" s="79">
        <v>0</v>
      </c>
      <c r="M1083" s="83">
        <v>38152</v>
      </c>
      <c r="N1083" s="80">
        <v>0.6666666666666666</v>
      </c>
      <c r="O1083" s="78">
        <v>6</v>
      </c>
      <c r="P1083" s="79">
        <v>0</v>
      </c>
    </row>
    <row r="1084" spans="1:16" ht="12.75">
      <c r="A1084" s="83">
        <v>38152</v>
      </c>
      <c r="B1084" s="80">
        <v>0.7083333333333334</v>
      </c>
      <c r="C1084" s="78">
        <v>15</v>
      </c>
      <c r="D1084" s="79">
        <v>5</v>
      </c>
      <c r="G1084" s="83">
        <v>38152</v>
      </c>
      <c r="H1084" s="80">
        <v>0.7083333333333334</v>
      </c>
      <c r="I1084" s="78">
        <v>21</v>
      </c>
      <c r="J1084" s="79">
        <v>0</v>
      </c>
      <c r="M1084" s="83">
        <v>38152</v>
      </c>
      <c r="N1084" s="80">
        <v>0.7083333333333334</v>
      </c>
      <c r="O1084" s="78">
        <v>8</v>
      </c>
      <c r="P1084" s="79">
        <v>0</v>
      </c>
    </row>
    <row r="1085" spans="1:16" ht="12.75">
      <c r="A1085" s="83">
        <v>38152</v>
      </c>
      <c r="B1085" s="80">
        <v>0.75</v>
      </c>
      <c r="C1085" s="78">
        <v>10</v>
      </c>
      <c r="D1085" s="79">
        <v>3</v>
      </c>
      <c r="G1085" s="83">
        <v>38152</v>
      </c>
      <c r="H1085" s="80">
        <v>0.75</v>
      </c>
      <c r="I1085" s="78">
        <v>19</v>
      </c>
      <c r="J1085" s="79">
        <v>0</v>
      </c>
      <c r="M1085" s="83">
        <v>38152</v>
      </c>
      <c r="N1085" s="80">
        <v>0.75</v>
      </c>
      <c r="O1085" s="78">
        <v>10</v>
      </c>
      <c r="P1085" s="79">
        <v>0</v>
      </c>
    </row>
    <row r="1086" spans="1:16" ht="12.75">
      <c r="A1086" s="83">
        <v>38152</v>
      </c>
      <c r="B1086" s="80">
        <v>0.7916666666666666</v>
      </c>
      <c r="C1086" s="78">
        <v>4</v>
      </c>
      <c r="D1086" s="79">
        <v>0</v>
      </c>
      <c r="G1086" s="83">
        <v>38152</v>
      </c>
      <c r="H1086" s="80">
        <v>0.7916666666666666</v>
      </c>
      <c r="I1086" s="78">
        <v>17</v>
      </c>
      <c r="J1086" s="79">
        <v>0</v>
      </c>
      <c r="M1086" s="83">
        <v>38152</v>
      </c>
      <c r="N1086" s="80">
        <v>0.7916666666666666</v>
      </c>
      <c r="O1086" s="78">
        <v>11</v>
      </c>
      <c r="P1086" s="79">
        <v>0</v>
      </c>
    </row>
    <row r="1087" spans="1:16" ht="12.75">
      <c r="A1087" s="83">
        <v>38152</v>
      </c>
      <c r="B1087" s="80">
        <v>0.8333333333333334</v>
      </c>
      <c r="C1087" s="78">
        <v>6</v>
      </c>
      <c r="D1087" s="79">
        <v>0</v>
      </c>
      <c r="G1087" s="83">
        <v>38152</v>
      </c>
      <c r="H1087" s="80">
        <v>0.8333333333333334</v>
      </c>
      <c r="I1087" s="78">
        <v>15</v>
      </c>
      <c r="J1087" s="79">
        <v>0</v>
      </c>
      <c r="M1087" s="83">
        <v>38152</v>
      </c>
      <c r="N1087" s="80">
        <v>0.8333333333333334</v>
      </c>
      <c r="O1087" s="78">
        <v>19</v>
      </c>
      <c r="P1087" s="79">
        <v>0</v>
      </c>
    </row>
    <row r="1088" spans="1:16" ht="12.75">
      <c r="A1088" s="83">
        <v>38152</v>
      </c>
      <c r="B1088" s="80">
        <v>0.875</v>
      </c>
      <c r="C1088" s="78">
        <v>15</v>
      </c>
      <c r="D1088" s="79">
        <v>3</v>
      </c>
      <c r="G1088" s="83">
        <v>38152</v>
      </c>
      <c r="H1088" s="80">
        <v>0.875</v>
      </c>
      <c r="I1088" s="78">
        <v>11</v>
      </c>
      <c r="J1088" s="79">
        <v>0</v>
      </c>
      <c r="M1088" s="83">
        <v>38152</v>
      </c>
      <c r="N1088" s="80">
        <v>0.875</v>
      </c>
      <c r="O1088" s="78">
        <v>55</v>
      </c>
      <c r="P1088" s="79">
        <v>3</v>
      </c>
    </row>
    <row r="1089" spans="1:16" ht="12.75">
      <c r="A1089" s="83">
        <v>38152</v>
      </c>
      <c r="B1089" s="80">
        <v>0.9166666666666666</v>
      </c>
      <c r="C1089" s="78">
        <v>13</v>
      </c>
      <c r="D1089" s="79">
        <v>3</v>
      </c>
      <c r="G1089" s="83">
        <v>38152</v>
      </c>
      <c r="H1089" s="80">
        <v>0.9166666666666666</v>
      </c>
      <c r="I1089" s="78">
        <v>10</v>
      </c>
      <c r="J1089" s="79">
        <v>0</v>
      </c>
      <c r="M1089" s="83">
        <v>38152</v>
      </c>
      <c r="N1089" s="80">
        <v>0.9166666666666666</v>
      </c>
      <c r="O1089" s="78">
        <v>82</v>
      </c>
      <c r="P1089" s="79">
        <v>3</v>
      </c>
    </row>
    <row r="1090" spans="1:16" ht="12.75">
      <c r="A1090" s="83">
        <v>38152</v>
      </c>
      <c r="B1090" s="80">
        <v>0.9583333333333334</v>
      </c>
      <c r="C1090" s="78">
        <v>11</v>
      </c>
      <c r="D1090" s="79">
        <v>3</v>
      </c>
      <c r="G1090" s="83">
        <v>38152</v>
      </c>
      <c r="H1090" s="80">
        <v>0.9583333333333334</v>
      </c>
      <c r="I1090" s="78">
        <v>8</v>
      </c>
      <c r="J1090" s="79">
        <v>0</v>
      </c>
      <c r="M1090" s="83">
        <v>38152</v>
      </c>
      <c r="N1090" s="80">
        <v>0.9583333333333334</v>
      </c>
      <c r="O1090" s="78">
        <v>73</v>
      </c>
      <c r="P1090" s="79">
        <v>3</v>
      </c>
    </row>
    <row r="1091" spans="1:16" ht="12.75">
      <c r="A1091" s="83">
        <v>38152</v>
      </c>
      <c r="B1091" s="81">
        <v>1</v>
      </c>
      <c r="C1091" s="78">
        <v>10</v>
      </c>
      <c r="D1091" s="79">
        <v>3</v>
      </c>
      <c r="G1091" s="83">
        <v>38152</v>
      </c>
      <c r="H1091" s="81">
        <v>1</v>
      </c>
      <c r="I1091" s="78">
        <v>4</v>
      </c>
      <c r="J1091" s="79">
        <v>0</v>
      </c>
      <c r="M1091" s="83">
        <v>38152</v>
      </c>
      <c r="N1091" s="81">
        <v>1</v>
      </c>
      <c r="O1091" s="78">
        <v>32</v>
      </c>
      <c r="P1091" s="79">
        <v>3</v>
      </c>
    </row>
    <row r="1092" spans="1:16" s="92" customFormat="1" ht="12.75">
      <c r="A1092" s="90">
        <v>38153</v>
      </c>
      <c r="B1092" s="91">
        <v>0.041666666666666664</v>
      </c>
      <c r="C1092" s="92">
        <v>15</v>
      </c>
      <c r="D1092" s="92">
        <v>3</v>
      </c>
      <c r="G1092" s="90">
        <v>38153</v>
      </c>
      <c r="H1092" s="91">
        <v>0.041666666666666664</v>
      </c>
      <c r="I1092" s="92">
        <v>0</v>
      </c>
      <c r="J1092" s="92">
        <v>0</v>
      </c>
      <c r="M1092" s="90">
        <v>38153</v>
      </c>
      <c r="N1092" s="91">
        <v>0.041666666666666664</v>
      </c>
      <c r="O1092" s="92">
        <v>15</v>
      </c>
      <c r="P1092" s="92">
        <v>3</v>
      </c>
    </row>
    <row r="1093" spans="1:16" ht="12.75">
      <c r="A1093" s="83">
        <v>38153</v>
      </c>
      <c r="B1093" s="80">
        <v>0.08333333333333333</v>
      </c>
      <c r="C1093" s="78">
        <v>13</v>
      </c>
      <c r="D1093" s="79">
        <v>3</v>
      </c>
      <c r="G1093" s="83">
        <v>38153</v>
      </c>
      <c r="H1093" s="80">
        <v>0.08333333333333333</v>
      </c>
      <c r="I1093" s="78">
        <v>0</v>
      </c>
      <c r="J1093" s="79">
        <v>0</v>
      </c>
      <c r="M1093" s="83">
        <v>38153</v>
      </c>
      <c r="N1093" s="80">
        <v>0.08333333333333333</v>
      </c>
      <c r="O1093" s="78">
        <v>36</v>
      </c>
      <c r="P1093" s="79">
        <v>0</v>
      </c>
    </row>
    <row r="1094" spans="1:16" ht="12.75">
      <c r="A1094" s="83">
        <v>38153</v>
      </c>
      <c r="B1094" s="80">
        <v>0.125</v>
      </c>
      <c r="C1094" s="78">
        <v>11</v>
      </c>
      <c r="D1094" s="79">
        <v>3</v>
      </c>
      <c r="G1094" s="83">
        <v>38153</v>
      </c>
      <c r="H1094" s="80">
        <v>0.125</v>
      </c>
      <c r="I1094" s="78">
        <v>0</v>
      </c>
      <c r="J1094" s="79">
        <v>0</v>
      </c>
      <c r="M1094" s="83">
        <v>38153</v>
      </c>
      <c r="N1094" s="80">
        <v>0.125</v>
      </c>
      <c r="O1094" s="78">
        <v>52</v>
      </c>
      <c r="P1094" s="79">
        <v>0</v>
      </c>
    </row>
    <row r="1095" spans="1:16" ht="12.75">
      <c r="A1095" s="83">
        <v>38153</v>
      </c>
      <c r="B1095" s="80">
        <v>0.16666666666666666</v>
      </c>
      <c r="C1095" s="78">
        <v>10</v>
      </c>
      <c r="D1095" s="79">
        <v>3</v>
      </c>
      <c r="G1095" s="83">
        <v>38153</v>
      </c>
      <c r="H1095" s="80">
        <v>0.16666666666666666</v>
      </c>
      <c r="I1095" s="78">
        <v>0</v>
      </c>
      <c r="J1095" s="79">
        <v>0</v>
      </c>
      <c r="M1095" s="83">
        <v>38153</v>
      </c>
      <c r="N1095" s="80">
        <v>0.16666666666666666</v>
      </c>
      <c r="O1095" s="78">
        <v>67</v>
      </c>
      <c r="P1095" s="79">
        <v>3</v>
      </c>
    </row>
    <row r="1096" spans="1:16" ht="12.75">
      <c r="A1096" s="83">
        <v>38153</v>
      </c>
      <c r="B1096" s="80">
        <v>0.20833333333333334</v>
      </c>
      <c r="C1096" s="78">
        <v>11</v>
      </c>
      <c r="D1096" s="79">
        <v>3</v>
      </c>
      <c r="G1096" s="83">
        <v>38153</v>
      </c>
      <c r="H1096" s="80">
        <v>0.20833333333333334</v>
      </c>
      <c r="I1096" s="78">
        <v>6</v>
      </c>
      <c r="J1096" s="79">
        <v>0</v>
      </c>
      <c r="M1096" s="83">
        <v>38153</v>
      </c>
      <c r="N1096" s="80">
        <v>0.20833333333333334</v>
      </c>
      <c r="O1096" s="78">
        <v>36</v>
      </c>
      <c r="P1096" s="79">
        <v>0</v>
      </c>
    </row>
    <row r="1097" spans="1:16" ht="12.75">
      <c r="A1097" s="83">
        <v>38153</v>
      </c>
      <c r="B1097" s="80">
        <v>0.25</v>
      </c>
      <c r="C1097" s="78">
        <v>10</v>
      </c>
      <c r="D1097" s="79">
        <v>0</v>
      </c>
      <c r="G1097" s="83">
        <v>38153</v>
      </c>
      <c r="H1097" s="80">
        <v>0.25</v>
      </c>
      <c r="I1097" s="78">
        <v>13</v>
      </c>
      <c r="J1097" s="79">
        <v>0</v>
      </c>
      <c r="M1097" s="83">
        <v>38153</v>
      </c>
      <c r="N1097" s="80">
        <v>0.25</v>
      </c>
      <c r="O1097" s="78">
        <v>40</v>
      </c>
      <c r="P1097" s="79">
        <v>0</v>
      </c>
    </row>
    <row r="1098" spans="1:16" ht="12.75">
      <c r="A1098" s="83">
        <v>38153</v>
      </c>
      <c r="B1098" s="80">
        <v>0.2916666666666667</v>
      </c>
      <c r="C1098" s="78" t="s">
        <v>7</v>
      </c>
      <c r="D1098" s="79">
        <v>3</v>
      </c>
      <c r="G1098" s="83">
        <v>38153</v>
      </c>
      <c r="H1098" s="80">
        <v>0.2916666666666667</v>
      </c>
      <c r="I1098" s="78" t="s">
        <v>7</v>
      </c>
      <c r="J1098" s="79">
        <v>0</v>
      </c>
      <c r="M1098" s="83">
        <v>38153</v>
      </c>
      <c r="N1098" s="80">
        <v>0.2916666666666667</v>
      </c>
      <c r="O1098" s="78">
        <v>32</v>
      </c>
      <c r="P1098" s="79">
        <v>3</v>
      </c>
    </row>
    <row r="1099" spans="1:16" ht="12.75">
      <c r="A1099" s="83">
        <v>38153</v>
      </c>
      <c r="B1099" s="80">
        <v>0.3333333333333333</v>
      </c>
      <c r="C1099" s="78" t="s">
        <v>7</v>
      </c>
      <c r="D1099" s="79">
        <v>3</v>
      </c>
      <c r="G1099" s="83">
        <v>38153</v>
      </c>
      <c r="H1099" s="80">
        <v>0.3333333333333333</v>
      </c>
      <c r="I1099" s="78" t="s">
        <v>7</v>
      </c>
      <c r="J1099" s="79">
        <v>0</v>
      </c>
      <c r="M1099" s="83">
        <v>38153</v>
      </c>
      <c r="N1099" s="80">
        <v>0.3333333333333333</v>
      </c>
      <c r="O1099" s="78" t="s">
        <v>7</v>
      </c>
      <c r="P1099" s="79">
        <v>0</v>
      </c>
    </row>
    <row r="1100" spans="1:16" ht="12.75">
      <c r="A1100" s="83">
        <v>38153</v>
      </c>
      <c r="B1100" s="80">
        <v>0.375</v>
      </c>
      <c r="C1100" s="78" t="s">
        <v>7</v>
      </c>
      <c r="D1100" s="79">
        <v>5</v>
      </c>
      <c r="G1100" s="83">
        <v>38153</v>
      </c>
      <c r="H1100" s="80">
        <v>0.375</v>
      </c>
      <c r="I1100" s="78" t="s">
        <v>7</v>
      </c>
      <c r="J1100" s="79">
        <v>3</v>
      </c>
      <c r="M1100" s="83">
        <v>38153</v>
      </c>
      <c r="N1100" s="80">
        <v>0.375</v>
      </c>
      <c r="O1100" s="78" t="s">
        <v>7</v>
      </c>
      <c r="P1100" s="79">
        <v>0</v>
      </c>
    </row>
    <row r="1101" spans="1:16" ht="12.75">
      <c r="A1101" s="83">
        <v>38153</v>
      </c>
      <c r="B1101" s="80">
        <v>0.4166666666666667</v>
      </c>
      <c r="C1101" s="78">
        <v>13</v>
      </c>
      <c r="D1101" s="79">
        <v>3</v>
      </c>
      <c r="G1101" s="83">
        <v>38153</v>
      </c>
      <c r="H1101" s="80">
        <v>0.4166666666666667</v>
      </c>
      <c r="I1101" s="78">
        <v>27</v>
      </c>
      <c r="J1101" s="79">
        <v>3</v>
      </c>
      <c r="M1101" s="83">
        <v>38153</v>
      </c>
      <c r="N1101" s="80">
        <v>0.4166666666666667</v>
      </c>
      <c r="P1101" s="79">
        <v>0</v>
      </c>
    </row>
    <row r="1102" spans="1:16" ht="12.75">
      <c r="A1102" s="83">
        <v>38153</v>
      </c>
      <c r="B1102" s="80">
        <v>0.4583333333333333</v>
      </c>
      <c r="C1102" s="78">
        <v>6</v>
      </c>
      <c r="D1102" s="79">
        <v>3</v>
      </c>
      <c r="G1102" s="83">
        <v>38153</v>
      </c>
      <c r="H1102" s="80">
        <v>0.4583333333333333</v>
      </c>
      <c r="I1102" s="78">
        <v>31</v>
      </c>
      <c r="J1102" s="79">
        <v>3</v>
      </c>
      <c r="M1102" s="83">
        <v>38153</v>
      </c>
      <c r="N1102" s="80">
        <v>0.4583333333333333</v>
      </c>
      <c r="O1102" s="78">
        <v>10</v>
      </c>
      <c r="P1102" s="79">
        <v>0</v>
      </c>
    </row>
    <row r="1103" spans="1:16" ht="12.75">
      <c r="A1103" s="83">
        <v>38153</v>
      </c>
      <c r="B1103" s="80">
        <v>0.5</v>
      </c>
      <c r="C1103" s="78">
        <v>4</v>
      </c>
      <c r="D1103" s="79">
        <v>0</v>
      </c>
      <c r="G1103" s="83">
        <v>38153</v>
      </c>
      <c r="H1103" s="80">
        <v>0.5</v>
      </c>
      <c r="I1103" s="78">
        <v>29</v>
      </c>
      <c r="J1103" s="79">
        <v>3</v>
      </c>
      <c r="M1103" s="83">
        <v>38153</v>
      </c>
      <c r="N1103" s="80">
        <v>0.5</v>
      </c>
      <c r="O1103" s="78">
        <v>8</v>
      </c>
      <c r="P1103" s="79">
        <v>0</v>
      </c>
    </row>
    <row r="1104" spans="1:16" ht="12.75">
      <c r="A1104" s="83">
        <v>38153</v>
      </c>
      <c r="B1104" s="80">
        <v>0.5416666666666666</v>
      </c>
      <c r="C1104" s="78">
        <v>4</v>
      </c>
      <c r="D1104" s="79">
        <v>0</v>
      </c>
      <c r="G1104" s="83">
        <v>38153</v>
      </c>
      <c r="H1104" s="80">
        <v>0.5416666666666666</v>
      </c>
      <c r="I1104" s="78">
        <v>27</v>
      </c>
      <c r="J1104" s="79">
        <v>3</v>
      </c>
      <c r="M1104" s="83">
        <v>38153</v>
      </c>
      <c r="N1104" s="80">
        <v>0.5416666666666666</v>
      </c>
      <c r="O1104" s="78">
        <v>10</v>
      </c>
      <c r="P1104" s="79">
        <v>0</v>
      </c>
    </row>
    <row r="1105" spans="1:16" ht="12.75">
      <c r="A1105" s="83">
        <v>38153</v>
      </c>
      <c r="B1105" s="80">
        <v>0.5833333333333334</v>
      </c>
      <c r="C1105" s="78">
        <v>4</v>
      </c>
      <c r="D1105" s="79">
        <v>0</v>
      </c>
      <c r="G1105" s="83">
        <v>38153</v>
      </c>
      <c r="H1105" s="80">
        <v>0.5833333333333334</v>
      </c>
      <c r="I1105" s="78">
        <v>25</v>
      </c>
      <c r="J1105" s="79">
        <v>3</v>
      </c>
      <c r="M1105" s="83">
        <v>38153</v>
      </c>
      <c r="N1105" s="80">
        <v>0.5833333333333334</v>
      </c>
      <c r="O1105" s="78">
        <v>8</v>
      </c>
      <c r="P1105" s="79">
        <v>0</v>
      </c>
    </row>
    <row r="1106" spans="1:16" ht="12.75">
      <c r="A1106" s="83">
        <v>38153</v>
      </c>
      <c r="B1106" s="80">
        <v>0.625</v>
      </c>
      <c r="C1106" s="78">
        <v>4</v>
      </c>
      <c r="D1106" s="79">
        <v>0</v>
      </c>
      <c r="G1106" s="83">
        <v>38153</v>
      </c>
      <c r="H1106" s="80">
        <v>0.625</v>
      </c>
      <c r="I1106" s="78">
        <v>25</v>
      </c>
      <c r="J1106" s="79">
        <v>3</v>
      </c>
      <c r="M1106" s="83">
        <v>38153</v>
      </c>
      <c r="N1106" s="80">
        <v>0.625</v>
      </c>
      <c r="O1106" s="78">
        <v>10</v>
      </c>
      <c r="P1106" s="79">
        <v>0</v>
      </c>
    </row>
    <row r="1107" spans="1:16" ht="12.75">
      <c r="A1107" s="83">
        <v>38153</v>
      </c>
      <c r="B1107" s="80">
        <v>0.6666666666666666</v>
      </c>
      <c r="C1107" s="78">
        <v>4</v>
      </c>
      <c r="D1107" s="79">
        <v>0</v>
      </c>
      <c r="G1107" s="83">
        <v>38153</v>
      </c>
      <c r="H1107" s="80">
        <v>0.6666666666666666</v>
      </c>
      <c r="I1107" s="78">
        <v>29</v>
      </c>
      <c r="J1107" s="79">
        <v>3</v>
      </c>
      <c r="M1107" s="83">
        <v>38153</v>
      </c>
      <c r="N1107" s="80">
        <v>0.6666666666666666</v>
      </c>
      <c r="O1107" s="78">
        <v>8</v>
      </c>
      <c r="P1107" s="79">
        <v>0</v>
      </c>
    </row>
    <row r="1108" spans="1:16" ht="12.75">
      <c r="A1108" s="83">
        <v>38153</v>
      </c>
      <c r="B1108" s="80">
        <v>0.7083333333333334</v>
      </c>
      <c r="C1108" s="78">
        <v>6</v>
      </c>
      <c r="D1108" s="79">
        <v>0</v>
      </c>
      <c r="G1108" s="83">
        <v>38153</v>
      </c>
      <c r="H1108" s="80">
        <v>0.7083333333333334</v>
      </c>
      <c r="I1108" s="78">
        <v>32</v>
      </c>
      <c r="J1108" s="79">
        <v>3</v>
      </c>
      <c r="M1108" s="83">
        <v>38153</v>
      </c>
      <c r="N1108" s="80">
        <v>0.7083333333333334</v>
      </c>
      <c r="O1108" s="78">
        <v>10</v>
      </c>
      <c r="P1108" s="79">
        <v>0</v>
      </c>
    </row>
    <row r="1109" spans="1:16" ht="12.75">
      <c r="A1109" s="83">
        <v>38153</v>
      </c>
      <c r="B1109" s="80">
        <v>0.75</v>
      </c>
      <c r="C1109" s="78">
        <v>4</v>
      </c>
      <c r="D1109" s="79">
        <v>0</v>
      </c>
      <c r="G1109" s="83">
        <v>38153</v>
      </c>
      <c r="H1109" s="80">
        <v>0.75</v>
      </c>
      <c r="I1109" s="78">
        <v>29</v>
      </c>
      <c r="J1109" s="79">
        <v>3</v>
      </c>
      <c r="M1109" s="83">
        <v>38153</v>
      </c>
      <c r="N1109" s="80">
        <v>0.75</v>
      </c>
      <c r="O1109" s="78">
        <v>11</v>
      </c>
      <c r="P1109" s="79">
        <v>0</v>
      </c>
    </row>
    <row r="1110" spans="1:16" ht="12.75">
      <c r="A1110" s="83">
        <v>38153</v>
      </c>
      <c r="B1110" s="80">
        <v>0.7916666666666666</v>
      </c>
      <c r="C1110" s="78">
        <v>2</v>
      </c>
      <c r="D1110" s="79">
        <v>0</v>
      </c>
      <c r="G1110" s="83">
        <v>38153</v>
      </c>
      <c r="H1110" s="80">
        <v>0.7916666666666666</v>
      </c>
      <c r="I1110" s="78">
        <v>27</v>
      </c>
      <c r="J1110" s="79">
        <v>3</v>
      </c>
      <c r="M1110" s="83">
        <v>38153</v>
      </c>
      <c r="N1110" s="80">
        <v>0.7916666666666666</v>
      </c>
      <c r="O1110" s="78">
        <v>11</v>
      </c>
      <c r="P1110" s="79">
        <v>0</v>
      </c>
    </row>
    <row r="1111" spans="1:16" ht="12.75">
      <c r="A1111" s="83">
        <v>38153</v>
      </c>
      <c r="B1111" s="80">
        <v>0.8333333333333334</v>
      </c>
      <c r="C1111" s="78">
        <v>2</v>
      </c>
      <c r="D1111" s="79">
        <v>0</v>
      </c>
      <c r="G1111" s="83">
        <v>38153</v>
      </c>
      <c r="H1111" s="80">
        <v>0.8333333333333334</v>
      </c>
      <c r="I1111" s="78">
        <v>27</v>
      </c>
      <c r="J1111" s="79">
        <v>0</v>
      </c>
      <c r="M1111" s="83">
        <v>38153</v>
      </c>
      <c r="N1111" s="80">
        <v>0.8333333333333334</v>
      </c>
      <c r="O1111" s="78">
        <v>13</v>
      </c>
      <c r="P1111" s="79">
        <v>0</v>
      </c>
    </row>
    <row r="1112" spans="1:16" ht="12.75">
      <c r="A1112" s="83">
        <v>38153</v>
      </c>
      <c r="B1112" s="80">
        <v>0.875</v>
      </c>
      <c r="C1112" s="78">
        <v>4</v>
      </c>
      <c r="D1112" s="79">
        <v>0</v>
      </c>
      <c r="G1112" s="83">
        <v>38153</v>
      </c>
      <c r="H1112" s="80">
        <v>0.875</v>
      </c>
      <c r="I1112" s="78">
        <v>32</v>
      </c>
      <c r="J1112" s="79">
        <v>0</v>
      </c>
      <c r="M1112" s="83">
        <v>38153</v>
      </c>
      <c r="N1112" s="80">
        <v>0.875</v>
      </c>
      <c r="O1112" s="78">
        <v>11</v>
      </c>
      <c r="P1112" s="79">
        <v>0</v>
      </c>
    </row>
    <row r="1113" spans="1:16" ht="12.75">
      <c r="A1113" s="83">
        <v>38153</v>
      </c>
      <c r="B1113" s="80">
        <v>0.9166666666666666</v>
      </c>
      <c r="C1113" s="78">
        <v>11</v>
      </c>
      <c r="D1113" s="79">
        <v>0</v>
      </c>
      <c r="G1113" s="83">
        <v>38153</v>
      </c>
      <c r="H1113" s="80">
        <v>0.9166666666666666</v>
      </c>
      <c r="I1113" s="78">
        <v>32</v>
      </c>
      <c r="J1113" s="79">
        <v>0</v>
      </c>
      <c r="M1113" s="83">
        <v>38153</v>
      </c>
      <c r="N1113" s="80">
        <v>0.9166666666666666</v>
      </c>
      <c r="O1113" s="78">
        <v>13</v>
      </c>
      <c r="P1113" s="79">
        <v>0</v>
      </c>
    </row>
    <row r="1114" spans="1:16" ht="12.75">
      <c r="A1114" s="83">
        <v>38153</v>
      </c>
      <c r="B1114" s="80">
        <v>0.9583333333333334</v>
      </c>
      <c r="C1114" s="78">
        <v>11</v>
      </c>
      <c r="D1114" s="79">
        <v>0</v>
      </c>
      <c r="G1114" s="83">
        <v>38153</v>
      </c>
      <c r="H1114" s="80">
        <v>0.9583333333333334</v>
      </c>
      <c r="J1114" s="79">
        <v>0</v>
      </c>
      <c r="M1114" s="83">
        <v>38153</v>
      </c>
      <c r="N1114" s="80">
        <v>0.9583333333333334</v>
      </c>
      <c r="O1114" s="78">
        <v>25</v>
      </c>
      <c r="P1114" s="79">
        <v>0</v>
      </c>
    </row>
    <row r="1115" spans="1:16" ht="12.75">
      <c r="A1115" s="83">
        <v>38153</v>
      </c>
      <c r="B1115" s="81">
        <v>1</v>
      </c>
      <c r="C1115" s="78">
        <v>10</v>
      </c>
      <c r="D1115" s="79">
        <v>0</v>
      </c>
      <c r="G1115" s="83">
        <v>38153</v>
      </c>
      <c r="H1115" s="81">
        <v>1</v>
      </c>
      <c r="J1115" s="79">
        <v>0</v>
      </c>
      <c r="M1115" s="83">
        <v>38153</v>
      </c>
      <c r="N1115" s="81">
        <v>1</v>
      </c>
      <c r="O1115" s="78">
        <v>10</v>
      </c>
      <c r="P1115" s="79">
        <v>0</v>
      </c>
    </row>
    <row r="1116" spans="1:16" s="92" customFormat="1" ht="12.75">
      <c r="A1116" s="90">
        <v>38154</v>
      </c>
      <c r="B1116" s="91">
        <v>0.041666666666666664</v>
      </c>
      <c r="C1116" s="92">
        <v>4</v>
      </c>
      <c r="D1116" s="92">
        <v>0</v>
      </c>
      <c r="G1116" s="90">
        <v>38154</v>
      </c>
      <c r="H1116" s="91">
        <v>0.041666666666666664</v>
      </c>
      <c r="J1116" s="92">
        <v>0</v>
      </c>
      <c r="M1116" s="90">
        <v>38154</v>
      </c>
      <c r="N1116" s="91">
        <v>0.041666666666666664</v>
      </c>
      <c r="O1116" s="92">
        <v>11</v>
      </c>
      <c r="P1116" s="92">
        <v>0</v>
      </c>
    </row>
    <row r="1117" spans="1:16" ht="12.75">
      <c r="A1117" s="83">
        <v>38154</v>
      </c>
      <c r="B1117" s="80">
        <v>0.08333333333333333</v>
      </c>
      <c r="C1117" s="78">
        <v>10</v>
      </c>
      <c r="D1117" s="79">
        <v>0</v>
      </c>
      <c r="G1117" s="83">
        <v>38154</v>
      </c>
      <c r="H1117" s="80">
        <v>0.08333333333333333</v>
      </c>
      <c r="J1117" s="79">
        <v>0</v>
      </c>
      <c r="M1117" s="83">
        <v>38154</v>
      </c>
      <c r="N1117" s="80">
        <v>0.08333333333333333</v>
      </c>
      <c r="O1117" s="78">
        <v>23</v>
      </c>
      <c r="P1117" s="79">
        <v>0</v>
      </c>
    </row>
    <row r="1118" spans="1:16" ht="12.75">
      <c r="A1118" s="83">
        <v>38154</v>
      </c>
      <c r="B1118" s="80">
        <v>0.125</v>
      </c>
      <c r="C1118" s="78">
        <v>4</v>
      </c>
      <c r="D1118" s="79">
        <v>0</v>
      </c>
      <c r="G1118" s="83">
        <v>38154</v>
      </c>
      <c r="H1118" s="80">
        <v>0.125</v>
      </c>
      <c r="J1118" s="79">
        <v>0</v>
      </c>
      <c r="M1118" s="83">
        <v>38154</v>
      </c>
      <c r="N1118" s="80">
        <v>0.125</v>
      </c>
      <c r="O1118" s="78">
        <v>19</v>
      </c>
      <c r="P1118" s="79">
        <v>0</v>
      </c>
    </row>
    <row r="1119" spans="1:16" ht="12.75">
      <c r="A1119" s="83">
        <v>38154</v>
      </c>
      <c r="B1119" s="80">
        <v>0.16666666666666666</v>
      </c>
      <c r="C1119" s="78">
        <v>11</v>
      </c>
      <c r="D1119" s="79">
        <v>0</v>
      </c>
      <c r="G1119" s="83">
        <v>38154</v>
      </c>
      <c r="H1119" s="80">
        <v>0.16666666666666666</v>
      </c>
      <c r="J1119" s="79">
        <v>0</v>
      </c>
      <c r="M1119" s="83">
        <v>38154</v>
      </c>
      <c r="N1119" s="80">
        <v>0.16666666666666666</v>
      </c>
      <c r="O1119" s="78">
        <v>19</v>
      </c>
      <c r="P1119" s="79">
        <v>0</v>
      </c>
    </row>
    <row r="1120" spans="1:16" ht="12.75">
      <c r="A1120" s="83">
        <v>38154</v>
      </c>
      <c r="B1120" s="80">
        <v>0.20833333333333334</v>
      </c>
      <c r="C1120" s="78">
        <v>15</v>
      </c>
      <c r="D1120" s="79">
        <v>3</v>
      </c>
      <c r="G1120" s="83">
        <v>38154</v>
      </c>
      <c r="H1120" s="80">
        <v>0.20833333333333334</v>
      </c>
      <c r="J1120" s="79">
        <v>0</v>
      </c>
      <c r="M1120" s="83">
        <v>38154</v>
      </c>
      <c r="N1120" s="80">
        <v>0.20833333333333334</v>
      </c>
      <c r="O1120" s="78">
        <v>19</v>
      </c>
      <c r="P1120" s="79">
        <v>0</v>
      </c>
    </row>
    <row r="1121" spans="1:16" ht="12.75">
      <c r="A1121" s="83">
        <v>38154</v>
      </c>
      <c r="B1121" s="80">
        <v>0.25</v>
      </c>
      <c r="C1121" s="78">
        <v>13</v>
      </c>
      <c r="D1121" s="79">
        <v>3</v>
      </c>
      <c r="G1121" s="83">
        <v>38154</v>
      </c>
      <c r="H1121" s="80">
        <v>0.25</v>
      </c>
      <c r="J1121" s="79">
        <v>0</v>
      </c>
      <c r="M1121" s="83">
        <v>38154</v>
      </c>
      <c r="N1121" s="80">
        <v>0.25</v>
      </c>
      <c r="O1121" s="78">
        <v>19</v>
      </c>
      <c r="P1121" s="79">
        <v>3</v>
      </c>
    </row>
    <row r="1122" spans="1:16" ht="12.75">
      <c r="A1122" s="83">
        <v>38154</v>
      </c>
      <c r="B1122" s="80">
        <v>0.2916666666666667</v>
      </c>
      <c r="C1122" s="78">
        <v>17</v>
      </c>
      <c r="D1122" s="79">
        <v>3</v>
      </c>
      <c r="G1122" s="83">
        <v>38154</v>
      </c>
      <c r="H1122" s="80">
        <v>0.2916666666666667</v>
      </c>
      <c r="J1122" s="79">
        <v>0</v>
      </c>
      <c r="M1122" s="83">
        <v>38154</v>
      </c>
      <c r="N1122" s="80">
        <v>0.2916666666666667</v>
      </c>
      <c r="O1122" s="78">
        <v>13</v>
      </c>
      <c r="P1122" s="79">
        <v>3</v>
      </c>
    </row>
    <row r="1123" spans="1:14" ht="12.75">
      <c r="A1123" s="83">
        <v>38154</v>
      </c>
      <c r="B1123" s="80">
        <v>0.3333333333333333</v>
      </c>
      <c r="C1123" s="78">
        <v>25</v>
      </c>
      <c r="D1123" s="79">
        <v>3</v>
      </c>
      <c r="G1123" s="83">
        <v>38154</v>
      </c>
      <c r="H1123" s="80">
        <v>0.3333333333333333</v>
      </c>
      <c r="J1123" s="79">
        <v>0</v>
      </c>
      <c r="M1123" s="83">
        <v>38154</v>
      </c>
      <c r="N1123" s="80">
        <v>0.3333333333333333</v>
      </c>
    </row>
    <row r="1124" spans="1:14" ht="12.75">
      <c r="A1124" s="83">
        <v>38154</v>
      </c>
      <c r="B1124" s="80">
        <v>0.375</v>
      </c>
      <c r="C1124" s="78">
        <v>21</v>
      </c>
      <c r="D1124" s="79">
        <v>3</v>
      </c>
      <c r="G1124" s="83">
        <v>38154</v>
      </c>
      <c r="H1124" s="80">
        <v>0.375</v>
      </c>
      <c r="J1124" s="79">
        <v>3</v>
      </c>
      <c r="M1124" s="83">
        <v>38154</v>
      </c>
      <c r="N1124" s="80">
        <v>0.375</v>
      </c>
    </row>
    <row r="1125" spans="1:16" ht="12.75">
      <c r="A1125" s="83">
        <v>38154</v>
      </c>
      <c r="B1125" s="80">
        <v>0.4166666666666667</v>
      </c>
      <c r="C1125" s="78">
        <v>25</v>
      </c>
      <c r="D1125" s="79">
        <v>3</v>
      </c>
      <c r="G1125" s="83">
        <v>38154</v>
      </c>
      <c r="H1125" s="80">
        <v>0.4166666666666667</v>
      </c>
      <c r="J1125" s="79">
        <v>0</v>
      </c>
      <c r="M1125" s="83">
        <v>38154</v>
      </c>
      <c r="N1125" s="80">
        <v>0.4166666666666667</v>
      </c>
      <c r="O1125" s="78">
        <v>10</v>
      </c>
      <c r="P1125" s="79">
        <v>0</v>
      </c>
    </row>
    <row r="1126" spans="1:16" ht="12.75">
      <c r="A1126" s="83">
        <v>38154</v>
      </c>
      <c r="B1126" s="80">
        <v>0.4583333333333333</v>
      </c>
      <c r="C1126" s="78">
        <v>17</v>
      </c>
      <c r="D1126" s="79">
        <v>3</v>
      </c>
      <c r="G1126" s="83">
        <v>38154</v>
      </c>
      <c r="H1126" s="80">
        <v>0.4583333333333333</v>
      </c>
      <c r="I1126" s="78">
        <v>27</v>
      </c>
      <c r="J1126" s="79">
        <v>0</v>
      </c>
      <c r="M1126" s="83">
        <v>38154</v>
      </c>
      <c r="N1126" s="80">
        <v>0.4583333333333333</v>
      </c>
      <c r="O1126" s="78">
        <v>10</v>
      </c>
      <c r="P1126" s="79">
        <v>0</v>
      </c>
    </row>
    <row r="1127" spans="1:16" ht="12.75">
      <c r="A1127" s="83">
        <v>38154</v>
      </c>
      <c r="B1127" s="80">
        <v>0.5</v>
      </c>
      <c r="C1127" s="78">
        <v>17</v>
      </c>
      <c r="D1127" s="79">
        <v>3</v>
      </c>
      <c r="G1127" s="83">
        <v>38154</v>
      </c>
      <c r="H1127" s="80">
        <v>0.5</v>
      </c>
      <c r="I1127" s="78">
        <v>34</v>
      </c>
      <c r="J1127" s="79">
        <v>0</v>
      </c>
      <c r="M1127" s="83">
        <v>38154</v>
      </c>
      <c r="N1127" s="80">
        <v>0.5</v>
      </c>
      <c r="O1127" s="78">
        <v>15</v>
      </c>
      <c r="P1127" s="79">
        <v>0</v>
      </c>
    </row>
    <row r="1128" spans="1:16" ht="12.75">
      <c r="A1128" s="83">
        <v>38154</v>
      </c>
      <c r="B1128" s="80">
        <v>0.5416666666666666</v>
      </c>
      <c r="C1128" s="78">
        <v>15</v>
      </c>
      <c r="D1128" s="79">
        <v>3</v>
      </c>
      <c r="G1128" s="83">
        <v>38154</v>
      </c>
      <c r="H1128" s="80">
        <v>0.5416666666666666</v>
      </c>
      <c r="I1128" s="78">
        <v>38</v>
      </c>
      <c r="J1128" s="79">
        <v>0</v>
      </c>
      <c r="M1128" s="83">
        <v>38154</v>
      </c>
      <c r="N1128" s="80">
        <v>0.5416666666666666</v>
      </c>
      <c r="O1128" s="78">
        <v>6</v>
      </c>
      <c r="P1128" s="79">
        <v>0</v>
      </c>
    </row>
    <row r="1129" spans="1:16" ht="12.75">
      <c r="A1129" s="83">
        <v>38154</v>
      </c>
      <c r="B1129" s="80">
        <v>0.5833333333333334</v>
      </c>
      <c r="C1129" s="78">
        <v>13</v>
      </c>
      <c r="D1129" s="79">
        <v>3</v>
      </c>
      <c r="G1129" s="83">
        <v>38154</v>
      </c>
      <c r="H1129" s="80">
        <v>0.5833333333333334</v>
      </c>
      <c r="I1129" s="78">
        <v>36</v>
      </c>
      <c r="J1129" s="79">
        <v>0</v>
      </c>
      <c r="M1129" s="83">
        <v>38154</v>
      </c>
      <c r="N1129" s="80">
        <v>0.5833333333333334</v>
      </c>
      <c r="O1129" s="78">
        <v>21</v>
      </c>
      <c r="P1129" s="79">
        <v>13</v>
      </c>
    </row>
    <row r="1130" spans="1:16" ht="12.75">
      <c r="A1130" s="83">
        <v>38154</v>
      </c>
      <c r="B1130" s="80">
        <v>0.625</v>
      </c>
      <c r="C1130" s="78">
        <v>13</v>
      </c>
      <c r="D1130" s="79">
        <v>3</v>
      </c>
      <c r="G1130" s="83">
        <v>38154</v>
      </c>
      <c r="H1130" s="80">
        <v>0.625</v>
      </c>
      <c r="I1130" s="78">
        <v>31</v>
      </c>
      <c r="J1130" s="79">
        <v>0</v>
      </c>
      <c r="M1130" s="83">
        <v>38154</v>
      </c>
      <c r="N1130" s="80">
        <v>0.625</v>
      </c>
      <c r="O1130" s="78">
        <v>40</v>
      </c>
      <c r="P1130" s="79">
        <v>8</v>
      </c>
    </row>
    <row r="1131" spans="1:16" ht="12.75">
      <c r="A1131" s="83">
        <v>38154</v>
      </c>
      <c r="B1131" s="80">
        <v>0.6666666666666666</v>
      </c>
      <c r="C1131" s="78">
        <v>13</v>
      </c>
      <c r="D1131" s="79">
        <v>0</v>
      </c>
      <c r="G1131" s="83">
        <v>38154</v>
      </c>
      <c r="H1131" s="80">
        <v>0.6666666666666666</v>
      </c>
      <c r="I1131" s="78">
        <v>32</v>
      </c>
      <c r="J1131" s="79">
        <v>0</v>
      </c>
      <c r="M1131" s="83">
        <v>38154</v>
      </c>
      <c r="N1131" s="80">
        <v>0.6666666666666666</v>
      </c>
      <c r="O1131" s="78">
        <v>53</v>
      </c>
      <c r="P1131" s="79">
        <v>3</v>
      </c>
    </row>
    <row r="1132" spans="1:16" ht="12.75">
      <c r="A1132" s="83">
        <v>38154</v>
      </c>
      <c r="B1132" s="80">
        <v>0.7083333333333334</v>
      </c>
      <c r="C1132" s="78">
        <v>13</v>
      </c>
      <c r="D1132" s="79">
        <v>3</v>
      </c>
      <c r="G1132" s="83">
        <v>38154</v>
      </c>
      <c r="H1132" s="80">
        <v>0.7083333333333334</v>
      </c>
      <c r="I1132" s="78">
        <v>48</v>
      </c>
      <c r="J1132" s="79">
        <v>0</v>
      </c>
      <c r="M1132" s="83">
        <v>38154</v>
      </c>
      <c r="N1132" s="80">
        <v>0.7083333333333334</v>
      </c>
      <c r="O1132" s="78">
        <v>59</v>
      </c>
      <c r="P1132" s="79">
        <v>5</v>
      </c>
    </row>
    <row r="1133" spans="1:16" ht="12.75">
      <c r="A1133" s="83">
        <v>38154</v>
      </c>
      <c r="B1133" s="80">
        <v>0.75</v>
      </c>
      <c r="C1133" s="78">
        <v>13</v>
      </c>
      <c r="D1133" s="79">
        <v>3</v>
      </c>
      <c r="G1133" s="83">
        <v>38154</v>
      </c>
      <c r="H1133" s="80">
        <v>0.75</v>
      </c>
      <c r="I1133" s="78">
        <v>52</v>
      </c>
      <c r="J1133" s="79">
        <v>0</v>
      </c>
      <c r="M1133" s="83">
        <v>38154</v>
      </c>
      <c r="N1133" s="80">
        <v>0.75</v>
      </c>
      <c r="O1133" s="78">
        <v>42</v>
      </c>
      <c r="P1133" s="79">
        <v>5</v>
      </c>
    </row>
    <row r="1134" spans="1:16" ht="12.75">
      <c r="A1134" s="83">
        <v>38154</v>
      </c>
      <c r="B1134" s="80">
        <v>0.7916666666666666</v>
      </c>
      <c r="C1134" s="78">
        <v>11</v>
      </c>
      <c r="D1134" s="79">
        <v>3</v>
      </c>
      <c r="G1134" s="83">
        <v>38154</v>
      </c>
      <c r="H1134" s="80">
        <v>0.7916666666666666</v>
      </c>
      <c r="I1134" s="78">
        <v>53</v>
      </c>
      <c r="J1134" s="79">
        <v>0</v>
      </c>
      <c r="M1134" s="83">
        <v>38154</v>
      </c>
      <c r="N1134" s="80">
        <v>0.7916666666666666</v>
      </c>
      <c r="O1134" s="78">
        <v>36</v>
      </c>
      <c r="P1134" s="79">
        <v>0</v>
      </c>
    </row>
    <row r="1135" spans="1:16" ht="12.75">
      <c r="A1135" s="83">
        <v>38154</v>
      </c>
      <c r="B1135" s="80">
        <v>0.8333333333333334</v>
      </c>
      <c r="C1135" s="78">
        <v>10</v>
      </c>
      <c r="D1135" s="79">
        <v>0</v>
      </c>
      <c r="G1135" s="83">
        <v>38154</v>
      </c>
      <c r="H1135" s="80">
        <v>0.8333333333333334</v>
      </c>
      <c r="I1135" s="78">
        <v>32</v>
      </c>
      <c r="J1135" s="79">
        <v>0</v>
      </c>
      <c r="M1135" s="83">
        <v>38154</v>
      </c>
      <c r="N1135" s="80">
        <v>0.8333333333333334</v>
      </c>
      <c r="O1135" s="78">
        <v>63</v>
      </c>
      <c r="P1135" s="79">
        <v>5</v>
      </c>
    </row>
    <row r="1136" spans="1:16" ht="12.75">
      <c r="A1136" s="83">
        <v>38154</v>
      </c>
      <c r="B1136" s="80">
        <v>0.875</v>
      </c>
      <c r="C1136" s="78">
        <v>10</v>
      </c>
      <c r="D1136" s="79">
        <v>0</v>
      </c>
      <c r="G1136" s="83">
        <v>38154</v>
      </c>
      <c r="H1136" s="80">
        <v>0.875</v>
      </c>
      <c r="I1136" s="78">
        <v>38</v>
      </c>
      <c r="J1136" s="79">
        <v>0</v>
      </c>
      <c r="M1136" s="83">
        <v>38154</v>
      </c>
      <c r="N1136" s="80">
        <v>0.875</v>
      </c>
      <c r="O1136" s="78">
        <v>53</v>
      </c>
      <c r="P1136" s="79">
        <v>5</v>
      </c>
    </row>
    <row r="1137" spans="1:16" ht="12.75">
      <c r="A1137" s="83">
        <v>38154</v>
      </c>
      <c r="B1137" s="80">
        <v>0.9166666666666666</v>
      </c>
      <c r="C1137" s="78">
        <v>8</v>
      </c>
      <c r="D1137" s="79">
        <v>0</v>
      </c>
      <c r="G1137" s="83">
        <v>38154</v>
      </c>
      <c r="H1137" s="80">
        <v>0.9166666666666666</v>
      </c>
      <c r="I1137" s="78">
        <v>25</v>
      </c>
      <c r="J1137" s="79">
        <v>0</v>
      </c>
      <c r="M1137" s="83">
        <v>38154</v>
      </c>
      <c r="N1137" s="80">
        <v>0.9166666666666666</v>
      </c>
      <c r="O1137" s="78">
        <v>63</v>
      </c>
      <c r="P1137" s="79">
        <v>5</v>
      </c>
    </row>
    <row r="1138" spans="1:16" ht="12.75">
      <c r="A1138" s="83">
        <v>38154</v>
      </c>
      <c r="B1138" s="80">
        <v>0.9583333333333334</v>
      </c>
      <c r="C1138" s="78">
        <v>8</v>
      </c>
      <c r="D1138" s="79">
        <v>0</v>
      </c>
      <c r="G1138" s="83">
        <v>38154</v>
      </c>
      <c r="H1138" s="80">
        <v>0.9583333333333334</v>
      </c>
      <c r="I1138" s="78">
        <v>21</v>
      </c>
      <c r="J1138" s="79">
        <v>0</v>
      </c>
      <c r="M1138" s="83">
        <v>38154</v>
      </c>
      <c r="N1138" s="80">
        <v>0.9583333333333334</v>
      </c>
      <c r="O1138" s="78">
        <v>48</v>
      </c>
      <c r="P1138" s="79">
        <v>8</v>
      </c>
    </row>
    <row r="1139" spans="1:16" ht="12.75">
      <c r="A1139" s="83">
        <v>38154</v>
      </c>
      <c r="B1139" s="81">
        <v>1</v>
      </c>
      <c r="C1139" s="78">
        <v>6</v>
      </c>
      <c r="D1139" s="79">
        <v>0</v>
      </c>
      <c r="G1139" s="83">
        <v>38154</v>
      </c>
      <c r="H1139" s="81">
        <v>1</v>
      </c>
      <c r="I1139" s="78">
        <v>11</v>
      </c>
      <c r="J1139" s="79">
        <v>0</v>
      </c>
      <c r="M1139" s="83">
        <v>38154</v>
      </c>
      <c r="N1139" s="81">
        <v>1</v>
      </c>
      <c r="O1139" s="78">
        <v>42</v>
      </c>
      <c r="P1139" s="79">
        <v>8</v>
      </c>
    </row>
    <row r="1140" spans="1:16" s="92" customFormat="1" ht="12.75">
      <c r="A1140" s="90">
        <v>38155</v>
      </c>
      <c r="B1140" s="91">
        <v>0.041666666666666664</v>
      </c>
      <c r="C1140" s="92">
        <v>6</v>
      </c>
      <c r="D1140" s="92">
        <v>0</v>
      </c>
      <c r="G1140" s="90">
        <v>38155</v>
      </c>
      <c r="H1140" s="91">
        <v>0.041666666666666664</v>
      </c>
      <c r="I1140" s="92">
        <v>8</v>
      </c>
      <c r="J1140" s="92">
        <v>0</v>
      </c>
      <c r="M1140" s="90">
        <v>38155</v>
      </c>
      <c r="N1140" s="91">
        <v>0.041666666666666664</v>
      </c>
      <c r="O1140" s="92">
        <v>31</v>
      </c>
      <c r="P1140" s="92">
        <v>5</v>
      </c>
    </row>
    <row r="1141" spans="1:16" ht="12.75">
      <c r="A1141" s="83">
        <v>38155</v>
      </c>
      <c r="B1141" s="80">
        <v>0.08333333333333333</v>
      </c>
      <c r="C1141" s="78">
        <v>6</v>
      </c>
      <c r="D1141" s="79">
        <v>3</v>
      </c>
      <c r="G1141" s="83">
        <v>38155</v>
      </c>
      <c r="H1141" s="80">
        <v>0.08333333333333333</v>
      </c>
      <c r="I1141" s="78">
        <v>8</v>
      </c>
      <c r="J1141" s="79">
        <v>0</v>
      </c>
      <c r="M1141" s="83">
        <v>38155</v>
      </c>
      <c r="N1141" s="80">
        <v>0.08333333333333333</v>
      </c>
      <c r="O1141" s="78">
        <v>25</v>
      </c>
      <c r="P1141" s="79">
        <v>3</v>
      </c>
    </row>
    <row r="1142" spans="1:16" ht="12.75">
      <c r="A1142" s="83">
        <v>38155</v>
      </c>
      <c r="B1142" s="80">
        <v>0.125</v>
      </c>
      <c r="C1142" s="78">
        <v>6</v>
      </c>
      <c r="D1142" s="79">
        <v>0</v>
      </c>
      <c r="G1142" s="83">
        <v>38155</v>
      </c>
      <c r="H1142" s="80">
        <v>0.125</v>
      </c>
      <c r="I1142" s="78">
        <v>8</v>
      </c>
      <c r="J1142" s="79">
        <v>0</v>
      </c>
      <c r="M1142" s="83">
        <v>38155</v>
      </c>
      <c r="N1142" s="80">
        <v>0.125</v>
      </c>
      <c r="O1142" s="78">
        <v>15</v>
      </c>
      <c r="P1142" s="79">
        <v>0</v>
      </c>
    </row>
    <row r="1143" spans="1:16" ht="12.75">
      <c r="A1143" s="83">
        <v>38155</v>
      </c>
      <c r="B1143" s="80">
        <v>0.16666666666666666</v>
      </c>
      <c r="C1143" s="78">
        <v>8</v>
      </c>
      <c r="D1143" s="79">
        <v>0</v>
      </c>
      <c r="G1143" s="83">
        <v>38155</v>
      </c>
      <c r="H1143" s="80">
        <v>0.16666666666666666</v>
      </c>
      <c r="I1143" s="78">
        <v>8</v>
      </c>
      <c r="J1143" s="79">
        <v>0</v>
      </c>
      <c r="M1143" s="83">
        <v>38155</v>
      </c>
      <c r="N1143" s="80">
        <v>0.16666666666666666</v>
      </c>
      <c r="O1143" s="78">
        <v>29</v>
      </c>
      <c r="P1143" s="79">
        <v>3</v>
      </c>
    </row>
    <row r="1144" spans="1:16" ht="12.75">
      <c r="A1144" s="83">
        <v>38155</v>
      </c>
      <c r="B1144" s="80">
        <v>0.20833333333333334</v>
      </c>
      <c r="C1144" s="78">
        <v>10</v>
      </c>
      <c r="D1144" s="79">
        <v>3</v>
      </c>
      <c r="G1144" s="83">
        <v>38155</v>
      </c>
      <c r="H1144" s="80">
        <v>0.20833333333333334</v>
      </c>
      <c r="I1144" s="78">
        <v>13</v>
      </c>
      <c r="J1144" s="79">
        <v>0</v>
      </c>
      <c r="M1144" s="83">
        <v>38155</v>
      </c>
      <c r="N1144" s="80">
        <v>0.20833333333333334</v>
      </c>
      <c r="O1144" s="78">
        <v>44</v>
      </c>
      <c r="P1144" s="79">
        <v>3</v>
      </c>
    </row>
    <row r="1145" spans="1:16" ht="12.75">
      <c r="A1145" s="83">
        <v>38155</v>
      </c>
      <c r="B1145" s="80">
        <v>0.25</v>
      </c>
      <c r="C1145" s="78">
        <v>10</v>
      </c>
      <c r="D1145" s="79">
        <v>3</v>
      </c>
      <c r="G1145" s="83">
        <v>38155</v>
      </c>
      <c r="H1145" s="80">
        <v>0.25</v>
      </c>
      <c r="I1145" s="78">
        <v>21</v>
      </c>
      <c r="J1145" s="79">
        <v>0</v>
      </c>
      <c r="M1145" s="83">
        <v>38155</v>
      </c>
      <c r="N1145" s="80">
        <v>0.25</v>
      </c>
      <c r="O1145" s="78">
        <v>40</v>
      </c>
      <c r="P1145" s="79">
        <v>3</v>
      </c>
    </row>
    <row r="1146" spans="1:16" ht="12.75">
      <c r="A1146" s="83">
        <v>38155</v>
      </c>
      <c r="B1146" s="80">
        <v>0.2916666666666667</v>
      </c>
      <c r="C1146" s="78">
        <v>17</v>
      </c>
      <c r="D1146" s="79">
        <v>3</v>
      </c>
      <c r="G1146" s="83">
        <v>38155</v>
      </c>
      <c r="H1146" s="80">
        <v>0.2916666666666667</v>
      </c>
      <c r="I1146" s="78">
        <v>36</v>
      </c>
      <c r="J1146" s="79">
        <v>0</v>
      </c>
      <c r="M1146" s="83">
        <v>38155</v>
      </c>
      <c r="N1146" s="80">
        <v>0.2916666666666667</v>
      </c>
      <c r="O1146" s="78">
        <v>21</v>
      </c>
      <c r="P1146" s="79">
        <v>0</v>
      </c>
    </row>
    <row r="1147" spans="1:16" ht="12.75">
      <c r="A1147" s="83">
        <v>38155</v>
      </c>
      <c r="B1147" s="80">
        <v>0.3333333333333333</v>
      </c>
      <c r="C1147" s="78">
        <v>25</v>
      </c>
      <c r="D1147" s="79">
        <v>3</v>
      </c>
      <c r="G1147" s="83">
        <v>38155</v>
      </c>
      <c r="H1147" s="80">
        <v>0.3333333333333333</v>
      </c>
      <c r="I1147" s="78">
        <v>42</v>
      </c>
      <c r="J1147" s="79">
        <v>5</v>
      </c>
      <c r="M1147" s="83">
        <v>38155</v>
      </c>
      <c r="N1147" s="80">
        <v>0.3333333333333333</v>
      </c>
      <c r="O1147" s="78">
        <v>13</v>
      </c>
      <c r="P1147" s="79">
        <v>5</v>
      </c>
    </row>
    <row r="1148" spans="1:16" ht="12.75">
      <c r="A1148" s="83">
        <v>38155</v>
      </c>
      <c r="B1148" s="80">
        <v>0.375</v>
      </c>
      <c r="C1148" s="78">
        <v>27</v>
      </c>
      <c r="D1148" s="79">
        <v>3</v>
      </c>
      <c r="G1148" s="83">
        <v>38155</v>
      </c>
      <c r="H1148" s="80">
        <v>0.375</v>
      </c>
      <c r="I1148" s="78">
        <v>50</v>
      </c>
      <c r="J1148" s="79">
        <v>5</v>
      </c>
      <c r="M1148" s="83">
        <v>38155</v>
      </c>
      <c r="N1148" s="80">
        <v>0.375</v>
      </c>
      <c r="O1148" s="78">
        <v>11</v>
      </c>
      <c r="P1148" s="79">
        <v>8</v>
      </c>
    </row>
    <row r="1149" spans="1:16" ht="12.75">
      <c r="A1149" s="83">
        <v>38155</v>
      </c>
      <c r="B1149" s="80">
        <v>0.4166666666666667</v>
      </c>
      <c r="C1149" s="78">
        <v>23</v>
      </c>
      <c r="D1149" s="79">
        <v>3</v>
      </c>
      <c r="G1149" s="83">
        <v>38155</v>
      </c>
      <c r="H1149" s="80">
        <v>0.4166666666666667</v>
      </c>
      <c r="I1149" s="78">
        <v>50</v>
      </c>
      <c r="J1149" s="79">
        <v>5</v>
      </c>
      <c r="M1149" s="83">
        <v>38155</v>
      </c>
      <c r="N1149" s="80">
        <v>0.4166666666666667</v>
      </c>
      <c r="O1149" s="78">
        <v>11</v>
      </c>
      <c r="P1149" s="79">
        <v>11</v>
      </c>
    </row>
    <row r="1150" spans="1:16" ht="12.75">
      <c r="A1150" s="83">
        <v>38155</v>
      </c>
      <c r="B1150" s="80">
        <v>0.4583333333333333</v>
      </c>
      <c r="C1150" s="78">
        <v>23</v>
      </c>
      <c r="D1150" s="79">
        <v>3</v>
      </c>
      <c r="G1150" s="83">
        <v>38155</v>
      </c>
      <c r="H1150" s="80">
        <v>0.4583333333333333</v>
      </c>
      <c r="I1150" s="78">
        <v>50</v>
      </c>
      <c r="J1150" s="79">
        <v>8</v>
      </c>
      <c r="M1150" s="83">
        <v>38155</v>
      </c>
      <c r="N1150" s="80">
        <v>0.4583333333333333</v>
      </c>
      <c r="O1150" s="78">
        <v>8</v>
      </c>
      <c r="P1150" s="79">
        <v>3</v>
      </c>
    </row>
    <row r="1151" spans="1:16" ht="12.75">
      <c r="A1151" s="83">
        <v>38155</v>
      </c>
      <c r="B1151" s="80">
        <v>0.5</v>
      </c>
      <c r="C1151" s="78">
        <v>21</v>
      </c>
      <c r="D1151" s="79">
        <v>3</v>
      </c>
      <c r="G1151" s="83">
        <v>38155</v>
      </c>
      <c r="H1151" s="80">
        <v>0.5</v>
      </c>
      <c r="I1151" s="78">
        <v>42</v>
      </c>
      <c r="J1151" s="79">
        <v>11</v>
      </c>
      <c r="M1151" s="83">
        <v>38155</v>
      </c>
      <c r="N1151" s="80">
        <v>0.5</v>
      </c>
      <c r="O1151" s="78">
        <v>13</v>
      </c>
      <c r="P1151" s="79">
        <v>5</v>
      </c>
    </row>
    <row r="1152" spans="1:16" ht="12.75">
      <c r="A1152" s="83">
        <v>38155</v>
      </c>
      <c r="B1152" s="80">
        <v>0.5416666666666666</v>
      </c>
      <c r="C1152" s="78">
        <v>15</v>
      </c>
      <c r="D1152" s="79">
        <v>3</v>
      </c>
      <c r="G1152" s="83">
        <v>38155</v>
      </c>
      <c r="H1152" s="80">
        <v>0.5416666666666666</v>
      </c>
      <c r="I1152" s="78">
        <v>34</v>
      </c>
      <c r="J1152" s="79">
        <v>3</v>
      </c>
      <c r="M1152" s="83">
        <v>38155</v>
      </c>
      <c r="N1152" s="80">
        <v>0.5416666666666666</v>
      </c>
      <c r="O1152" s="78">
        <v>11</v>
      </c>
      <c r="P1152" s="79">
        <v>8</v>
      </c>
    </row>
    <row r="1153" spans="1:16" ht="12.75">
      <c r="A1153" s="83">
        <v>38155</v>
      </c>
      <c r="B1153" s="80">
        <v>0.5833333333333334</v>
      </c>
      <c r="C1153" s="78">
        <v>21</v>
      </c>
      <c r="D1153" s="79">
        <v>3</v>
      </c>
      <c r="G1153" s="83">
        <v>38155</v>
      </c>
      <c r="H1153" s="80">
        <v>0.5833333333333334</v>
      </c>
      <c r="I1153" s="78">
        <v>34</v>
      </c>
      <c r="J1153" s="79">
        <v>5</v>
      </c>
      <c r="M1153" s="83">
        <v>38155</v>
      </c>
      <c r="N1153" s="80">
        <v>0.5833333333333334</v>
      </c>
      <c r="O1153" s="78">
        <v>17</v>
      </c>
      <c r="P1153" s="79">
        <v>8</v>
      </c>
    </row>
    <row r="1154" spans="1:16" ht="12.75">
      <c r="A1154" s="83">
        <v>38155</v>
      </c>
      <c r="B1154" s="80">
        <v>0.625</v>
      </c>
      <c r="C1154" s="78">
        <v>23</v>
      </c>
      <c r="D1154" s="79">
        <v>3</v>
      </c>
      <c r="G1154" s="83">
        <v>38155</v>
      </c>
      <c r="H1154" s="80">
        <v>0.625</v>
      </c>
      <c r="I1154" s="78">
        <v>38</v>
      </c>
      <c r="J1154" s="79">
        <v>3</v>
      </c>
      <c r="M1154" s="83">
        <v>38155</v>
      </c>
      <c r="N1154" s="80">
        <v>0.625</v>
      </c>
      <c r="O1154" s="78">
        <v>19</v>
      </c>
      <c r="P1154" s="79">
        <v>8</v>
      </c>
    </row>
    <row r="1155" spans="1:16" ht="12.75">
      <c r="A1155" s="83">
        <v>38155</v>
      </c>
      <c r="B1155" s="80">
        <v>0.6666666666666666</v>
      </c>
      <c r="C1155" s="78">
        <v>23</v>
      </c>
      <c r="D1155" s="79">
        <v>3</v>
      </c>
      <c r="G1155" s="83">
        <v>38155</v>
      </c>
      <c r="H1155" s="80">
        <v>0.6666666666666666</v>
      </c>
      <c r="I1155" s="78">
        <v>21</v>
      </c>
      <c r="J1155" s="79">
        <v>0</v>
      </c>
      <c r="M1155" s="83">
        <v>38155</v>
      </c>
      <c r="N1155" s="80">
        <v>0.6666666666666666</v>
      </c>
      <c r="O1155" s="78">
        <v>21</v>
      </c>
      <c r="P1155" s="79">
        <v>11</v>
      </c>
    </row>
    <row r="1156" spans="1:16" ht="12.75">
      <c r="A1156" s="83">
        <v>38155</v>
      </c>
      <c r="B1156" s="80">
        <v>0.7083333333333334</v>
      </c>
      <c r="C1156" s="78">
        <v>21</v>
      </c>
      <c r="D1156" s="79">
        <v>3</v>
      </c>
      <c r="G1156" s="83">
        <v>38155</v>
      </c>
      <c r="H1156" s="80">
        <v>0.7083333333333334</v>
      </c>
      <c r="I1156" s="78">
        <v>50</v>
      </c>
      <c r="J1156" s="79">
        <v>82</v>
      </c>
      <c r="M1156" s="83">
        <v>38155</v>
      </c>
      <c r="N1156" s="80">
        <v>0.7083333333333334</v>
      </c>
      <c r="O1156" s="78">
        <v>17</v>
      </c>
      <c r="P1156" s="79">
        <v>8</v>
      </c>
    </row>
    <row r="1157" spans="1:16" ht="12.75">
      <c r="A1157" s="83">
        <v>38155</v>
      </c>
      <c r="B1157" s="80">
        <v>0.75</v>
      </c>
      <c r="C1157" s="78">
        <v>17</v>
      </c>
      <c r="D1157" s="79">
        <v>3</v>
      </c>
      <c r="G1157" s="83">
        <v>38155</v>
      </c>
      <c r="H1157" s="80">
        <v>0.75</v>
      </c>
      <c r="I1157" s="78">
        <v>52</v>
      </c>
      <c r="J1157" s="79">
        <v>80</v>
      </c>
      <c r="M1157" s="83">
        <v>38155</v>
      </c>
      <c r="N1157" s="80">
        <v>0.75</v>
      </c>
      <c r="O1157" s="78">
        <v>13</v>
      </c>
      <c r="P1157" s="79">
        <v>3</v>
      </c>
    </row>
    <row r="1158" spans="1:16" ht="12.75">
      <c r="A1158" s="83">
        <v>38155</v>
      </c>
      <c r="B1158" s="80">
        <v>0.7916666666666666</v>
      </c>
      <c r="C1158" s="78">
        <v>17</v>
      </c>
      <c r="D1158" s="79">
        <v>3</v>
      </c>
      <c r="G1158" s="83">
        <v>38155</v>
      </c>
      <c r="H1158" s="80">
        <v>0.7916666666666666</v>
      </c>
      <c r="I1158" s="78">
        <v>29</v>
      </c>
      <c r="J1158" s="79">
        <v>21</v>
      </c>
      <c r="M1158" s="83">
        <v>38155</v>
      </c>
      <c r="N1158" s="80">
        <v>0.7916666666666666</v>
      </c>
      <c r="O1158" s="78">
        <v>13</v>
      </c>
      <c r="P1158" s="79">
        <v>0</v>
      </c>
    </row>
    <row r="1159" spans="1:16" ht="12.75">
      <c r="A1159" s="83">
        <v>38155</v>
      </c>
      <c r="B1159" s="80">
        <v>0.8333333333333334</v>
      </c>
      <c r="C1159" s="78">
        <v>17</v>
      </c>
      <c r="D1159" s="79">
        <v>3</v>
      </c>
      <c r="G1159" s="83">
        <v>38155</v>
      </c>
      <c r="H1159" s="80">
        <v>0.8333333333333334</v>
      </c>
      <c r="I1159" s="78">
        <v>17</v>
      </c>
      <c r="J1159" s="79">
        <v>8</v>
      </c>
      <c r="M1159" s="83">
        <v>38155</v>
      </c>
      <c r="N1159" s="80">
        <v>0.8333333333333334</v>
      </c>
      <c r="O1159" s="78">
        <v>13</v>
      </c>
      <c r="P1159" s="79">
        <v>0</v>
      </c>
    </row>
    <row r="1160" spans="1:16" ht="12.75">
      <c r="A1160" s="83">
        <v>38155</v>
      </c>
      <c r="B1160" s="80">
        <v>0.875</v>
      </c>
      <c r="C1160" s="78">
        <v>21</v>
      </c>
      <c r="D1160" s="79">
        <v>3</v>
      </c>
      <c r="G1160" s="83">
        <v>38155</v>
      </c>
      <c r="H1160" s="80">
        <v>0.875</v>
      </c>
      <c r="I1160" s="78">
        <v>19</v>
      </c>
      <c r="J1160" s="79">
        <v>8</v>
      </c>
      <c r="M1160" s="83">
        <v>38155</v>
      </c>
      <c r="N1160" s="80">
        <v>0.875</v>
      </c>
      <c r="O1160" s="78">
        <v>13</v>
      </c>
      <c r="P1160" s="79">
        <v>0</v>
      </c>
    </row>
    <row r="1161" spans="1:16" ht="12.75">
      <c r="A1161" s="83">
        <v>38155</v>
      </c>
      <c r="B1161" s="80">
        <v>0.9166666666666666</v>
      </c>
      <c r="C1161" s="78">
        <v>23</v>
      </c>
      <c r="D1161" s="79">
        <v>3</v>
      </c>
      <c r="G1161" s="83">
        <v>38155</v>
      </c>
      <c r="H1161" s="80">
        <v>0.9166666666666666</v>
      </c>
      <c r="I1161" s="78">
        <v>15</v>
      </c>
      <c r="J1161" s="79">
        <v>5</v>
      </c>
      <c r="M1161" s="83">
        <v>38155</v>
      </c>
      <c r="N1161" s="80">
        <v>0.9166666666666666</v>
      </c>
      <c r="O1161" s="78">
        <v>36</v>
      </c>
      <c r="P1161" s="79">
        <v>0</v>
      </c>
    </row>
    <row r="1162" spans="1:16" ht="12.75">
      <c r="A1162" s="83">
        <v>38155</v>
      </c>
      <c r="B1162" s="80">
        <v>0.9583333333333334</v>
      </c>
      <c r="C1162" s="78">
        <v>27</v>
      </c>
      <c r="D1162" s="79">
        <v>3</v>
      </c>
      <c r="G1162" s="83">
        <v>38155</v>
      </c>
      <c r="H1162" s="80">
        <v>0.9583333333333334</v>
      </c>
      <c r="I1162" s="78">
        <v>11</v>
      </c>
      <c r="J1162" s="79">
        <v>5</v>
      </c>
      <c r="M1162" s="83">
        <v>38155</v>
      </c>
      <c r="N1162" s="80">
        <v>0.9583333333333334</v>
      </c>
      <c r="O1162" s="78">
        <v>34</v>
      </c>
      <c r="P1162" s="79">
        <v>0</v>
      </c>
    </row>
    <row r="1163" spans="1:16" ht="12.75">
      <c r="A1163" s="83">
        <v>38155</v>
      </c>
      <c r="B1163" s="81">
        <v>1</v>
      </c>
      <c r="C1163" s="78">
        <v>15</v>
      </c>
      <c r="D1163" s="79">
        <v>3</v>
      </c>
      <c r="G1163" s="83">
        <v>38155</v>
      </c>
      <c r="H1163" s="81">
        <v>1</v>
      </c>
      <c r="I1163" s="78">
        <v>2</v>
      </c>
      <c r="J1163" s="79">
        <v>0</v>
      </c>
      <c r="M1163" s="83">
        <v>38155</v>
      </c>
      <c r="N1163" s="81">
        <v>1</v>
      </c>
      <c r="O1163" s="78">
        <v>21</v>
      </c>
      <c r="P1163" s="79">
        <v>0</v>
      </c>
    </row>
    <row r="1164" spans="1:16" s="92" customFormat="1" ht="12.75">
      <c r="A1164" s="90">
        <v>38156</v>
      </c>
      <c r="B1164" s="91">
        <v>0.041666666666666664</v>
      </c>
      <c r="C1164" s="92">
        <v>13</v>
      </c>
      <c r="D1164" s="92">
        <v>3</v>
      </c>
      <c r="G1164" s="90">
        <v>38156</v>
      </c>
      <c r="H1164" s="91">
        <v>0.041666666666666664</v>
      </c>
      <c r="I1164" s="92">
        <v>0</v>
      </c>
      <c r="J1164" s="92">
        <v>0</v>
      </c>
      <c r="M1164" s="90">
        <v>38156</v>
      </c>
      <c r="N1164" s="91">
        <v>0.041666666666666664</v>
      </c>
      <c r="O1164" s="92">
        <v>19</v>
      </c>
      <c r="P1164" s="92">
        <v>3</v>
      </c>
    </row>
    <row r="1165" spans="1:16" ht="12.75">
      <c r="A1165" s="83">
        <v>38156</v>
      </c>
      <c r="B1165" s="80">
        <v>0.08333333333333333</v>
      </c>
      <c r="C1165" s="78">
        <v>8</v>
      </c>
      <c r="D1165" s="79">
        <v>3</v>
      </c>
      <c r="G1165" s="83">
        <v>38156</v>
      </c>
      <c r="H1165" s="80">
        <v>0.08333333333333333</v>
      </c>
      <c r="I1165" s="78">
        <v>2</v>
      </c>
      <c r="J1165" s="79">
        <v>0</v>
      </c>
      <c r="M1165" s="83">
        <v>38156</v>
      </c>
      <c r="N1165" s="80">
        <v>0.08333333333333333</v>
      </c>
      <c r="O1165" s="78">
        <v>27</v>
      </c>
      <c r="P1165" s="79">
        <v>0</v>
      </c>
    </row>
    <row r="1166" spans="1:16" ht="12.75">
      <c r="A1166" s="83">
        <v>38156</v>
      </c>
      <c r="B1166" s="80">
        <v>0.125</v>
      </c>
      <c r="C1166" s="78">
        <v>11</v>
      </c>
      <c r="D1166" s="79">
        <v>3</v>
      </c>
      <c r="G1166" s="83">
        <v>38156</v>
      </c>
      <c r="H1166" s="80">
        <v>0.125</v>
      </c>
      <c r="I1166" s="78">
        <v>2</v>
      </c>
      <c r="J1166" s="79">
        <v>0</v>
      </c>
      <c r="M1166" s="83">
        <v>38156</v>
      </c>
      <c r="N1166" s="80">
        <v>0.125</v>
      </c>
      <c r="O1166" s="78">
        <v>27</v>
      </c>
      <c r="P1166" s="79">
        <v>0</v>
      </c>
    </row>
    <row r="1167" spans="1:16" ht="12.75">
      <c r="A1167" s="83">
        <v>38156</v>
      </c>
      <c r="B1167" s="80">
        <v>0.16666666666666666</v>
      </c>
      <c r="C1167" s="78">
        <v>11</v>
      </c>
      <c r="D1167" s="79">
        <v>0</v>
      </c>
      <c r="G1167" s="83">
        <v>38156</v>
      </c>
      <c r="H1167" s="80">
        <v>0.16666666666666666</v>
      </c>
      <c r="I1167" s="78">
        <v>4</v>
      </c>
      <c r="J1167" s="79">
        <v>0</v>
      </c>
      <c r="M1167" s="83">
        <v>38156</v>
      </c>
      <c r="N1167" s="80">
        <v>0.16666666666666666</v>
      </c>
      <c r="O1167" s="78">
        <v>25</v>
      </c>
      <c r="P1167" s="79">
        <v>0</v>
      </c>
    </row>
    <row r="1168" spans="1:16" ht="12.75">
      <c r="A1168" s="83">
        <v>38156</v>
      </c>
      <c r="B1168" s="80">
        <v>0.20833333333333334</v>
      </c>
      <c r="C1168" s="78">
        <v>13</v>
      </c>
      <c r="D1168" s="79">
        <v>3</v>
      </c>
      <c r="G1168" s="83">
        <v>38156</v>
      </c>
      <c r="H1168" s="80">
        <v>0.20833333333333334</v>
      </c>
      <c r="I1168" s="78">
        <v>11</v>
      </c>
      <c r="J1168" s="79">
        <v>0</v>
      </c>
      <c r="M1168" s="83">
        <v>38156</v>
      </c>
      <c r="N1168" s="80">
        <v>0.20833333333333334</v>
      </c>
      <c r="O1168" s="78">
        <v>17</v>
      </c>
      <c r="P1168" s="79">
        <v>0</v>
      </c>
    </row>
    <row r="1169" spans="1:16" ht="12.75">
      <c r="A1169" s="83">
        <v>38156</v>
      </c>
      <c r="B1169" s="80">
        <v>0.25</v>
      </c>
      <c r="C1169" s="78">
        <v>13</v>
      </c>
      <c r="D1169" s="79">
        <v>3</v>
      </c>
      <c r="G1169" s="83">
        <v>38156</v>
      </c>
      <c r="H1169" s="80">
        <v>0.25</v>
      </c>
      <c r="I1169" s="78">
        <v>23</v>
      </c>
      <c r="J1169" s="79">
        <v>0</v>
      </c>
      <c r="M1169" s="83">
        <v>38156</v>
      </c>
      <c r="N1169" s="80">
        <v>0.25</v>
      </c>
      <c r="O1169" s="78">
        <v>21</v>
      </c>
      <c r="P1169" s="79">
        <v>0</v>
      </c>
    </row>
    <row r="1170" spans="1:16" ht="12.75">
      <c r="A1170" s="83">
        <v>38156</v>
      </c>
      <c r="B1170" s="80">
        <v>0.2916666666666667</v>
      </c>
      <c r="C1170" s="78">
        <v>17</v>
      </c>
      <c r="D1170" s="79">
        <v>3</v>
      </c>
      <c r="G1170" s="83">
        <v>38156</v>
      </c>
      <c r="H1170" s="80">
        <v>0.2916666666666667</v>
      </c>
      <c r="I1170" s="78">
        <v>27</v>
      </c>
      <c r="J1170" s="79">
        <v>0</v>
      </c>
      <c r="M1170" s="83">
        <v>38156</v>
      </c>
      <c r="N1170" s="80">
        <v>0.2916666666666667</v>
      </c>
      <c r="O1170" s="78">
        <v>21</v>
      </c>
      <c r="P1170" s="79">
        <v>0</v>
      </c>
    </row>
    <row r="1171" spans="1:16" ht="12.75">
      <c r="A1171" s="83">
        <v>38156</v>
      </c>
      <c r="B1171" s="80">
        <v>0.3333333333333333</v>
      </c>
      <c r="C1171" s="78">
        <v>15</v>
      </c>
      <c r="D1171" s="79">
        <v>3</v>
      </c>
      <c r="G1171" s="83">
        <v>38156</v>
      </c>
      <c r="H1171" s="80">
        <v>0.3333333333333333</v>
      </c>
      <c r="I1171" s="78">
        <v>44</v>
      </c>
      <c r="J1171" s="79">
        <v>3</v>
      </c>
      <c r="M1171" s="83">
        <v>38156</v>
      </c>
      <c r="N1171" s="80">
        <v>0.3333333333333333</v>
      </c>
      <c r="O1171" s="78">
        <v>19</v>
      </c>
      <c r="P1171" s="79">
        <v>0</v>
      </c>
    </row>
    <row r="1172" spans="1:16" ht="12.75">
      <c r="A1172" s="83">
        <v>38156</v>
      </c>
      <c r="B1172" s="80">
        <v>0.375</v>
      </c>
      <c r="C1172" s="78">
        <v>17</v>
      </c>
      <c r="D1172" s="79">
        <v>3</v>
      </c>
      <c r="G1172" s="83">
        <v>38156</v>
      </c>
      <c r="H1172" s="80">
        <v>0.375</v>
      </c>
      <c r="I1172" s="78">
        <v>34</v>
      </c>
      <c r="J1172" s="79">
        <v>3</v>
      </c>
      <c r="M1172" s="83">
        <v>38156</v>
      </c>
      <c r="N1172" s="80">
        <v>0.375</v>
      </c>
      <c r="O1172" s="78">
        <v>17</v>
      </c>
      <c r="P1172" s="79">
        <v>5</v>
      </c>
    </row>
    <row r="1173" spans="1:16" ht="12.75">
      <c r="A1173" s="83">
        <v>38156</v>
      </c>
      <c r="B1173" s="80">
        <v>0.4166666666666667</v>
      </c>
      <c r="C1173" s="78">
        <v>13</v>
      </c>
      <c r="D1173" s="79">
        <v>3</v>
      </c>
      <c r="G1173" s="83">
        <v>38156</v>
      </c>
      <c r="H1173" s="80">
        <v>0.4166666666666667</v>
      </c>
      <c r="I1173" s="78">
        <v>34</v>
      </c>
      <c r="J1173" s="79">
        <v>3</v>
      </c>
      <c r="M1173" s="83">
        <v>38156</v>
      </c>
      <c r="N1173" s="80">
        <v>0.4166666666666667</v>
      </c>
      <c r="O1173" s="78">
        <v>11</v>
      </c>
      <c r="P1173" s="79">
        <v>0</v>
      </c>
    </row>
    <row r="1174" spans="1:14" ht="12.75">
      <c r="A1174" s="83">
        <v>38156</v>
      </c>
      <c r="B1174" s="80">
        <v>0.4583333333333333</v>
      </c>
      <c r="C1174" s="78">
        <v>11</v>
      </c>
      <c r="D1174" s="79">
        <v>0</v>
      </c>
      <c r="G1174" s="83">
        <v>38156</v>
      </c>
      <c r="H1174" s="80">
        <v>0.4583333333333333</v>
      </c>
      <c r="I1174" s="78">
        <v>32</v>
      </c>
      <c r="J1174" s="79">
        <v>3</v>
      </c>
      <c r="M1174" s="83">
        <v>38156</v>
      </c>
      <c r="N1174" s="80">
        <v>0.4583333333333333</v>
      </c>
    </row>
    <row r="1175" spans="1:16" ht="12.75">
      <c r="A1175" s="83">
        <v>38156</v>
      </c>
      <c r="B1175" s="80">
        <v>0.5</v>
      </c>
      <c r="C1175" s="78">
        <v>15</v>
      </c>
      <c r="D1175" s="79">
        <v>3</v>
      </c>
      <c r="G1175" s="83">
        <v>38156</v>
      </c>
      <c r="H1175" s="80">
        <v>0.5</v>
      </c>
      <c r="I1175" s="78">
        <v>31</v>
      </c>
      <c r="J1175" s="79">
        <v>3</v>
      </c>
      <c r="M1175" s="83">
        <v>38156</v>
      </c>
      <c r="N1175" s="80">
        <v>0.5</v>
      </c>
      <c r="O1175" s="78">
        <v>10</v>
      </c>
      <c r="P1175" s="79">
        <v>3</v>
      </c>
    </row>
    <row r="1176" spans="1:16" ht="12.75">
      <c r="A1176" s="83">
        <v>38156</v>
      </c>
      <c r="B1176" s="80">
        <v>0.5416666666666666</v>
      </c>
      <c r="C1176" s="78">
        <v>11</v>
      </c>
      <c r="D1176" s="79">
        <v>3</v>
      </c>
      <c r="G1176" s="83">
        <v>38156</v>
      </c>
      <c r="H1176" s="80">
        <v>0.5416666666666666</v>
      </c>
      <c r="I1176" s="78">
        <v>25</v>
      </c>
      <c r="J1176" s="79">
        <v>0</v>
      </c>
      <c r="M1176" s="83">
        <v>38156</v>
      </c>
      <c r="N1176" s="80">
        <v>0.5416666666666666</v>
      </c>
      <c r="O1176" s="78">
        <v>10</v>
      </c>
      <c r="P1176" s="79">
        <v>0</v>
      </c>
    </row>
    <row r="1177" spans="1:16" ht="12.75">
      <c r="A1177" s="83">
        <v>38156</v>
      </c>
      <c r="B1177" s="80">
        <v>0.5833333333333334</v>
      </c>
      <c r="C1177" s="78">
        <v>11</v>
      </c>
      <c r="D1177" s="79">
        <v>3</v>
      </c>
      <c r="G1177" s="83">
        <v>38156</v>
      </c>
      <c r="H1177" s="80">
        <v>0.5833333333333334</v>
      </c>
      <c r="I1177" s="78">
        <v>23</v>
      </c>
      <c r="J1177" s="79">
        <v>0</v>
      </c>
      <c r="M1177" s="83">
        <v>38156</v>
      </c>
      <c r="N1177" s="80">
        <v>0.5833333333333334</v>
      </c>
      <c r="O1177" s="78">
        <v>8</v>
      </c>
      <c r="P1177" s="79">
        <v>0</v>
      </c>
    </row>
    <row r="1178" spans="1:16" ht="12.75">
      <c r="A1178" s="83">
        <v>38156</v>
      </c>
      <c r="B1178" s="80">
        <v>0.625</v>
      </c>
      <c r="C1178" s="78">
        <v>17</v>
      </c>
      <c r="D1178" s="79">
        <v>3</v>
      </c>
      <c r="G1178" s="83">
        <v>38156</v>
      </c>
      <c r="H1178" s="80">
        <v>0.625</v>
      </c>
      <c r="I1178" s="78">
        <v>21</v>
      </c>
      <c r="J1178" s="79">
        <v>0</v>
      </c>
      <c r="M1178" s="83">
        <v>38156</v>
      </c>
      <c r="N1178" s="80">
        <v>0.625</v>
      </c>
      <c r="O1178" s="78">
        <v>8</v>
      </c>
      <c r="P1178" s="79">
        <v>0</v>
      </c>
    </row>
    <row r="1179" spans="1:16" ht="12.75">
      <c r="A1179" s="83">
        <v>38156</v>
      </c>
      <c r="B1179" s="80">
        <v>0.6666666666666666</v>
      </c>
      <c r="C1179" s="78">
        <v>19</v>
      </c>
      <c r="D1179" s="79">
        <v>3</v>
      </c>
      <c r="G1179" s="83">
        <v>38156</v>
      </c>
      <c r="H1179" s="80">
        <v>0.6666666666666666</v>
      </c>
      <c r="I1179" s="78">
        <v>15</v>
      </c>
      <c r="J1179" s="79">
        <v>0</v>
      </c>
      <c r="M1179" s="83">
        <v>38156</v>
      </c>
      <c r="N1179" s="80">
        <v>0.6666666666666666</v>
      </c>
      <c r="O1179" s="78">
        <v>8</v>
      </c>
      <c r="P1179" s="79">
        <v>0</v>
      </c>
    </row>
    <row r="1180" spans="1:16" ht="12.75">
      <c r="A1180" s="83">
        <v>38156</v>
      </c>
      <c r="B1180" s="80">
        <v>0.7083333333333334</v>
      </c>
      <c r="C1180" s="78">
        <v>13</v>
      </c>
      <c r="D1180" s="79">
        <v>3</v>
      </c>
      <c r="G1180" s="83">
        <v>38156</v>
      </c>
      <c r="H1180" s="80">
        <v>0.7083333333333334</v>
      </c>
      <c r="I1180" s="78">
        <v>29</v>
      </c>
      <c r="J1180" s="79">
        <v>3</v>
      </c>
      <c r="M1180" s="83">
        <v>38156</v>
      </c>
      <c r="N1180" s="80">
        <v>0.7083333333333334</v>
      </c>
      <c r="O1180" s="78">
        <v>8</v>
      </c>
      <c r="P1180" s="79">
        <v>0</v>
      </c>
    </row>
    <row r="1181" spans="1:16" ht="12.75">
      <c r="A1181" s="83">
        <v>38156</v>
      </c>
      <c r="B1181" s="80">
        <v>0.75</v>
      </c>
      <c r="C1181" s="78">
        <v>15</v>
      </c>
      <c r="D1181" s="79">
        <v>3</v>
      </c>
      <c r="G1181" s="83">
        <v>38156</v>
      </c>
      <c r="H1181" s="80">
        <v>0.75</v>
      </c>
      <c r="I1181" s="78">
        <v>34</v>
      </c>
      <c r="J1181" s="79">
        <v>3</v>
      </c>
      <c r="M1181" s="83">
        <v>38156</v>
      </c>
      <c r="N1181" s="80">
        <v>0.75</v>
      </c>
      <c r="O1181" s="78">
        <v>10</v>
      </c>
      <c r="P1181" s="79">
        <v>0</v>
      </c>
    </row>
    <row r="1182" spans="1:16" ht="12.75">
      <c r="A1182" s="83">
        <v>38156</v>
      </c>
      <c r="B1182" s="80">
        <v>0.7916666666666666</v>
      </c>
      <c r="C1182" s="78">
        <v>15</v>
      </c>
      <c r="D1182" s="79">
        <v>3</v>
      </c>
      <c r="G1182" s="83">
        <v>38156</v>
      </c>
      <c r="H1182" s="80">
        <v>0.7916666666666666</v>
      </c>
      <c r="I1182" s="78">
        <v>19</v>
      </c>
      <c r="J1182" s="79">
        <v>0</v>
      </c>
      <c r="M1182" s="83">
        <v>38156</v>
      </c>
      <c r="N1182" s="80">
        <v>0.7916666666666666</v>
      </c>
      <c r="O1182" s="78">
        <v>11</v>
      </c>
      <c r="P1182" s="79">
        <v>0</v>
      </c>
    </row>
    <row r="1183" spans="1:16" ht="12.75">
      <c r="A1183" s="83">
        <v>38156</v>
      </c>
      <c r="B1183" s="80">
        <v>0.8333333333333334</v>
      </c>
      <c r="C1183" s="78">
        <v>19</v>
      </c>
      <c r="D1183" s="79">
        <v>3</v>
      </c>
      <c r="G1183" s="83">
        <v>38156</v>
      </c>
      <c r="H1183" s="80">
        <v>0.8333333333333334</v>
      </c>
      <c r="I1183" s="78">
        <v>32</v>
      </c>
      <c r="J1183" s="79">
        <v>0</v>
      </c>
      <c r="M1183" s="83">
        <v>38156</v>
      </c>
      <c r="N1183" s="80">
        <v>0.8333333333333334</v>
      </c>
      <c r="O1183" s="78">
        <v>13</v>
      </c>
      <c r="P1183" s="79">
        <v>0</v>
      </c>
    </row>
    <row r="1184" spans="1:16" ht="12.75">
      <c r="A1184" s="83">
        <v>38156</v>
      </c>
      <c r="B1184" s="80">
        <v>0.875</v>
      </c>
      <c r="C1184" s="78">
        <v>21</v>
      </c>
      <c r="D1184" s="79">
        <v>3</v>
      </c>
      <c r="G1184" s="83">
        <v>38156</v>
      </c>
      <c r="H1184" s="80">
        <v>0.875</v>
      </c>
      <c r="I1184" s="78">
        <v>36</v>
      </c>
      <c r="J1184" s="79">
        <v>0</v>
      </c>
      <c r="M1184" s="83">
        <v>38156</v>
      </c>
      <c r="N1184" s="80">
        <v>0.875</v>
      </c>
      <c r="O1184" s="78">
        <v>8</v>
      </c>
      <c r="P1184" s="79">
        <v>0</v>
      </c>
    </row>
    <row r="1185" spans="1:16" ht="12.75">
      <c r="A1185" s="83">
        <v>38156</v>
      </c>
      <c r="B1185" s="80">
        <v>0.9166666666666666</v>
      </c>
      <c r="C1185" s="78">
        <v>13</v>
      </c>
      <c r="D1185" s="79">
        <v>3</v>
      </c>
      <c r="G1185" s="83">
        <v>38156</v>
      </c>
      <c r="H1185" s="80">
        <v>0.9166666666666666</v>
      </c>
      <c r="I1185" s="78">
        <v>50</v>
      </c>
      <c r="J1185" s="79">
        <v>5</v>
      </c>
      <c r="M1185" s="83">
        <v>38156</v>
      </c>
      <c r="N1185" s="80">
        <v>0.9166666666666666</v>
      </c>
      <c r="O1185" s="78">
        <v>11</v>
      </c>
      <c r="P1185" s="79">
        <v>0</v>
      </c>
    </row>
    <row r="1186" spans="1:16" ht="12.75">
      <c r="A1186" s="83">
        <v>38156</v>
      </c>
      <c r="B1186" s="80">
        <v>0.9583333333333334</v>
      </c>
      <c r="C1186" s="78">
        <v>10</v>
      </c>
      <c r="D1186" s="79">
        <v>0</v>
      </c>
      <c r="G1186" s="83">
        <v>38156</v>
      </c>
      <c r="H1186" s="80">
        <v>0.9583333333333334</v>
      </c>
      <c r="I1186" s="78">
        <v>52</v>
      </c>
      <c r="J1186" s="79">
        <v>3</v>
      </c>
      <c r="M1186" s="83">
        <v>38156</v>
      </c>
      <c r="N1186" s="80">
        <v>0.9583333333333334</v>
      </c>
      <c r="O1186" s="78">
        <v>15</v>
      </c>
      <c r="P1186" s="79">
        <v>0</v>
      </c>
    </row>
    <row r="1187" spans="1:16" ht="12.75">
      <c r="A1187" s="83">
        <v>38156</v>
      </c>
      <c r="B1187" s="81">
        <v>1</v>
      </c>
      <c r="C1187" s="78">
        <v>8</v>
      </c>
      <c r="D1187" s="79">
        <v>0</v>
      </c>
      <c r="G1187" s="83">
        <v>38156</v>
      </c>
      <c r="H1187" s="81">
        <v>1</v>
      </c>
      <c r="I1187" s="78">
        <v>42</v>
      </c>
      <c r="J1187" s="79">
        <v>3</v>
      </c>
      <c r="M1187" s="83">
        <v>38156</v>
      </c>
      <c r="N1187" s="81">
        <v>1</v>
      </c>
      <c r="O1187" s="78">
        <v>17</v>
      </c>
      <c r="P1187" s="79">
        <v>0</v>
      </c>
    </row>
    <row r="1188" spans="1:16" s="92" customFormat="1" ht="12.75">
      <c r="A1188" s="90">
        <v>38157</v>
      </c>
      <c r="B1188" s="91">
        <v>0.041666666666666664</v>
      </c>
      <c r="C1188" s="92">
        <v>11</v>
      </c>
      <c r="D1188" s="92">
        <v>0</v>
      </c>
      <c r="G1188" s="90">
        <v>38157</v>
      </c>
      <c r="H1188" s="91">
        <v>0.041666666666666664</v>
      </c>
      <c r="I1188" s="92">
        <v>38</v>
      </c>
      <c r="J1188" s="92">
        <v>3</v>
      </c>
      <c r="M1188" s="90">
        <v>38157</v>
      </c>
      <c r="N1188" s="91">
        <v>0.041666666666666664</v>
      </c>
      <c r="O1188" s="92">
        <v>17</v>
      </c>
      <c r="P1188" s="92">
        <v>5</v>
      </c>
    </row>
    <row r="1189" spans="1:16" ht="12.75">
      <c r="A1189" s="83">
        <v>38157</v>
      </c>
      <c r="B1189" s="80">
        <v>0.08333333333333333</v>
      </c>
      <c r="C1189" s="78">
        <v>23</v>
      </c>
      <c r="D1189" s="79">
        <v>3</v>
      </c>
      <c r="G1189" s="83">
        <v>38157</v>
      </c>
      <c r="H1189" s="80">
        <v>0.08333333333333333</v>
      </c>
      <c r="I1189" s="78">
        <v>32</v>
      </c>
      <c r="J1189" s="79">
        <v>3</v>
      </c>
      <c r="M1189" s="83">
        <v>38157</v>
      </c>
      <c r="N1189" s="80">
        <v>0.08333333333333333</v>
      </c>
      <c r="O1189" s="78">
        <v>25</v>
      </c>
      <c r="P1189" s="79">
        <v>5</v>
      </c>
    </row>
    <row r="1190" spans="1:16" ht="12.75">
      <c r="A1190" s="83">
        <v>38157</v>
      </c>
      <c r="B1190" s="80">
        <v>0.125</v>
      </c>
      <c r="C1190" s="78">
        <v>23</v>
      </c>
      <c r="D1190" s="79">
        <v>3</v>
      </c>
      <c r="G1190" s="83">
        <v>38157</v>
      </c>
      <c r="H1190" s="80">
        <v>0.125</v>
      </c>
      <c r="I1190" s="78">
        <v>32</v>
      </c>
      <c r="J1190" s="79">
        <v>3</v>
      </c>
      <c r="M1190" s="83">
        <v>38157</v>
      </c>
      <c r="N1190" s="80">
        <v>0.125</v>
      </c>
      <c r="O1190" s="78">
        <v>21</v>
      </c>
      <c r="P1190" s="79">
        <v>3</v>
      </c>
    </row>
    <row r="1191" spans="1:16" ht="12.75">
      <c r="A1191" s="83">
        <v>38157</v>
      </c>
      <c r="B1191" s="80">
        <v>0.16666666666666666</v>
      </c>
      <c r="C1191" s="78">
        <v>13</v>
      </c>
      <c r="D1191" s="79">
        <v>0</v>
      </c>
      <c r="G1191" s="83">
        <v>38157</v>
      </c>
      <c r="H1191" s="80">
        <v>0.16666666666666666</v>
      </c>
      <c r="I1191" s="78">
        <v>25</v>
      </c>
      <c r="J1191" s="79">
        <v>3</v>
      </c>
      <c r="M1191" s="83">
        <v>38157</v>
      </c>
      <c r="N1191" s="80">
        <v>0.16666666666666666</v>
      </c>
      <c r="O1191" s="78">
        <v>15</v>
      </c>
      <c r="P1191" s="79">
        <v>3</v>
      </c>
    </row>
    <row r="1192" spans="1:16" ht="12.75">
      <c r="A1192" s="83">
        <v>38157</v>
      </c>
      <c r="B1192" s="80">
        <v>0.20833333333333334</v>
      </c>
      <c r="C1192" s="78">
        <v>15</v>
      </c>
      <c r="D1192" s="79">
        <v>0</v>
      </c>
      <c r="G1192" s="83">
        <v>38157</v>
      </c>
      <c r="H1192" s="80">
        <v>0.20833333333333334</v>
      </c>
      <c r="I1192" s="78">
        <v>10</v>
      </c>
      <c r="J1192" s="79">
        <v>0</v>
      </c>
      <c r="M1192" s="83">
        <v>38157</v>
      </c>
      <c r="N1192" s="80">
        <v>0.20833333333333334</v>
      </c>
      <c r="O1192" s="78">
        <v>29</v>
      </c>
      <c r="P1192" s="79">
        <v>3</v>
      </c>
    </row>
    <row r="1193" spans="1:16" ht="12.75">
      <c r="A1193" s="83">
        <v>38157</v>
      </c>
      <c r="B1193" s="80">
        <v>0.25</v>
      </c>
      <c r="C1193" s="78">
        <v>13</v>
      </c>
      <c r="D1193" s="79">
        <v>0</v>
      </c>
      <c r="G1193" s="83">
        <v>38157</v>
      </c>
      <c r="H1193" s="80">
        <v>0.25</v>
      </c>
      <c r="I1193" s="78">
        <v>10</v>
      </c>
      <c r="J1193" s="79">
        <v>0</v>
      </c>
      <c r="M1193" s="83">
        <v>38157</v>
      </c>
      <c r="N1193" s="80">
        <v>0.25</v>
      </c>
      <c r="O1193" s="78">
        <v>21</v>
      </c>
      <c r="P1193" s="79">
        <v>5</v>
      </c>
    </row>
    <row r="1194" spans="1:16" ht="12.75">
      <c r="A1194" s="83">
        <v>38157</v>
      </c>
      <c r="B1194" s="80">
        <v>0.2916666666666667</v>
      </c>
      <c r="C1194" s="78">
        <v>15</v>
      </c>
      <c r="D1194" s="79">
        <v>0</v>
      </c>
      <c r="G1194" s="83">
        <v>38157</v>
      </c>
      <c r="H1194" s="80">
        <v>0.2916666666666667</v>
      </c>
      <c r="I1194" s="78">
        <v>27</v>
      </c>
      <c r="J1194" s="79">
        <v>0</v>
      </c>
      <c r="M1194" s="83">
        <v>38157</v>
      </c>
      <c r="N1194" s="80">
        <v>0.2916666666666667</v>
      </c>
      <c r="O1194" s="78">
        <v>13</v>
      </c>
      <c r="P1194" s="79">
        <v>5</v>
      </c>
    </row>
    <row r="1195" spans="1:16" ht="12.75">
      <c r="A1195" s="83">
        <v>38157</v>
      </c>
      <c r="B1195" s="80">
        <v>0.3333333333333333</v>
      </c>
      <c r="C1195" s="78">
        <v>11</v>
      </c>
      <c r="D1195" s="79">
        <v>3</v>
      </c>
      <c r="G1195" s="83">
        <v>38157</v>
      </c>
      <c r="H1195" s="80">
        <v>0.3333333333333333</v>
      </c>
      <c r="I1195" s="78">
        <v>34</v>
      </c>
      <c r="J1195" s="79">
        <v>5</v>
      </c>
      <c r="M1195" s="83">
        <v>38157</v>
      </c>
      <c r="N1195" s="80">
        <v>0.3333333333333333</v>
      </c>
      <c r="O1195" s="78">
        <v>10</v>
      </c>
      <c r="P1195" s="79">
        <v>5</v>
      </c>
    </row>
    <row r="1196" spans="1:16" ht="12.75">
      <c r="A1196" s="83">
        <v>38157</v>
      </c>
      <c r="B1196" s="80">
        <v>0.375</v>
      </c>
      <c r="C1196" s="78">
        <v>11</v>
      </c>
      <c r="D1196" s="79">
        <v>3</v>
      </c>
      <c r="G1196" s="83">
        <v>38157</v>
      </c>
      <c r="H1196" s="80">
        <v>0.375</v>
      </c>
      <c r="I1196" s="78">
        <v>44</v>
      </c>
      <c r="J1196" s="79">
        <v>8</v>
      </c>
      <c r="M1196" s="83">
        <v>38157</v>
      </c>
      <c r="N1196" s="80">
        <v>0.375</v>
      </c>
      <c r="O1196" s="78">
        <v>6</v>
      </c>
      <c r="P1196" s="79">
        <v>3</v>
      </c>
    </row>
    <row r="1197" spans="1:16" ht="12.75">
      <c r="A1197" s="83">
        <v>38157</v>
      </c>
      <c r="B1197" s="80">
        <v>0.4166666666666667</v>
      </c>
      <c r="C1197" s="78">
        <v>11</v>
      </c>
      <c r="D1197" s="79">
        <v>3</v>
      </c>
      <c r="G1197" s="83">
        <v>38157</v>
      </c>
      <c r="H1197" s="80">
        <v>0.4166666666666667</v>
      </c>
      <c r="I1197" s="78">
        <v>42</v>
      </c>
      <c r="J1197" s="79">
        <v>3</v>
      </c>
      <c r="M1197" s="83">
        <v>38157</v>
      </c>
      <c r="N1197" s="80">
        <v>0.4166666666666667</v>
      </c>
      <c r="O1197" s="78">
        <v>8</v>
      </c>
      <c r="P1197" s="79">
        <v>3</v>
      </c>
    </row>
    <row r="1198" spans="1:16" ht="12.75">
      <c r="A1198" s="83">
        <v>38157</v>
      </c>
      <c r="B1198" s="80">
        <v>0.4583333333333333</v>
      </c>
      <c r="C1198" s="78">
        <v>15</v>
      </c>
      <c r="D1198" s="79">
        <v>3</v>
      </c>
      <c r="G1198" s="83">
        <v>38157</v>
      </c>
      <c r="H1198" s="80">
        <v>0.4583333333333333</v>
      </c>
      <c r="I1198" s="78">
        <v>52</v>
      </c>
      <c r="J1198" s="79">
        <v>5</v>
      </c>
      <c r="M1198" s="83">
        <v>38157</v>
      </c>
      <c r="N1198" s="80">
        <v>0.4583333333333333</v>
      </c>
      <c r="O1198" s="78">
        <v>8</v>
      </c>
      <c r="P1198" s="79">
        <v>0</v>
      </c>
    </row>
    <row r="1199" spans="1:16" ht="12.75">
      <c r="A1199" s="83">
        <v>38157</v>
      </c>
      <c r="B1199" s="80">
        <v>0.5</v>
      </c>
      <c r="C1199" s="78">
        <v>10</v>
      </c>
      <c r="D1199" s="79">
        <v>0</v>
      </c>
      <c r="G1199" s="83">
        <v>38157</v>
      </c>
      <c r="H1199" s="80">
        <v>0.5</v>
      </c>
      <c r="I1199" s="78">
        <v>52</v>
      </c>
      <c r="J1199" s="79">
        <v>3</v>
      </c>
      <c r="M1199" s="83">
        <v>38157</v>
      </c>
      <c r="N1199" s="80">
        <v>0.5</v>
      </c>
      <c r="O1199" s="78">
        <v>4</v>
      </c>
      <c r="P1199" s="79">
        <v>0</v>
      </c>
    </row>
    <row r="1200" spans="1:16" ht="12.75">
      <c r="A1200" s="83">
        <v>38157</v>
      </c>
      <c r="B1200" s="80">
        <v>0.5416666666666666</v>
      </c>
      <c r="C1200" s="78">
        <v>11</v>
      </c>
      <c r="D1200" s="79">
        <v>3</v>
      </c>
      <c r="G1200" s="83">
        <v>38157</v>
      </c>
      <c r="H1200" s="80">
        <v>0.5416666666666666</v>
      </c>
      <c r="I1200" s="78">
        <v>44</v>
      </c>
      <c r="J1200" s="79">
        <v>3</v>
      </c>
      <c r="M1200" s="83">
        <v>38157</v>
      </c>
      <c r="N1200" s="80">
        <v>0.5416666666666666</v>
      </c>
      <c r="O1200" s="78">
        <v>11</v>
      </c>
      <c r="P1200" s="79">
        <v>0</v>
      </c>
    </row>
    <row r="1201" spans="1:16" ht="12.75">
      <c r="A1201" s="83">
        <v>38157</v>
      </c>
      <c r="B1201" s="80">
        <v>0.5833333333333334</v>
      </c>
      <c r="C1201" s="78">
        <v>11</v>
      </c>
      <c r="D1201" s="79">
        <v>3</v>
      </c>
      <c r="G1201" s="83">
        <v>38157</v>
      </c>
      <c r="H1201" s="80">
        <v>0.5833333333333334</v>
      </c>
      <c r="I1201" s="78">
        <v>40</v>
      </c>
      <c r="J1201" s="79">
        <v>5</v>
      </c>
      <c r="M1201" s="83">
        <v>38157</v>
      </c>
      <c r="N1201" s="80">
        <v>0.5833333333333334</v>
      </c>
      <c r="O1201" s="78">
        <v>17</v>
      </c>
      <c r="P1201" s="79">
        <v>0</v>
      </c>
    </row>
    <row r="1202" spans="1:16" ht="12.75">
      <c r="A1202" s="83">
        <v>38157</v>
      </c>
      <c r="B1202" s="80">
        <v>0.625</v>
      </c>
      <c r="C1202" s="78">
        <v>8</v>
      </c>
      <c r="D1202" s="79">
        <v>0</v>
      </c>
      <c r="G1202" s="83">
        <v>38157</v>
      </c>
      <c r="H1202" s="80">
        <v>0.625</v>
      </c>
      <c r="I1202" s="78">
        <v>34</v>
      </c>
      <c r="J1202" s="79">
        <v>3</v>
      </c>
      <c r="M1202" s="83">
        <v>38157</v>
      </c>
      <c r="N1202" s="80">
        <v>0.625</v>
      </c>
      <c r="O1202" s="78">
        <v>10</v>
      </c>
      <c r="P1202" s="79">
        <v>0</v>
      </c>
    </row>
    <row r="1203" spans="1:16" ht="12.75">
      <c r="A1203" s="83">
        <v>38157</v>
      </c>
      <c r="B1203" s="80">
        <v>0.6666666666666666</v>
      </c>
      <c r="C1203" s="78">
        <v>6</v>
      </c>
      <c r="D1203" s="79">
        <v>0</v>
      </c>
      <c r="G1203" s="83">
        <v>38157</v>
      </c>
      <c r="H1203" s="80">
        <v>0.6666666666666666</v>
      </c>
      <c r="I1203" s="78">
        <v>38</v>
      </c>
      <c r="J1203" s="79">
        <v>3</v>
      </c>
      <c r="M1203" s="83">
        <v>38157</v>
      </c>
      <c r="N1203" s="80">
        <v>0.6666666666666666</v>
      </c>
      <c r="O1203" s="78">
        <v>11</v>
      </c>
      <c r="P1203" s="79">
        <v>0</v>
      </c>
    </row>
    <row r="1204" spans="1:16" ht="12.75">
      <c r="A1204" s="83">
        <v>38157</v>
      </c>
      <c r="B1204" s="80">
        <v>0.7083333333333334</v>
      </c>
      <c r="C1204" s="78">
        <v>10</v>
      </c>
      <c r="D1204" s="79">
        <v>0</v>
      </c>
      <c r="G1204" s="83">
        <v>38157</v>
      </c>
      <c r="H1204" s="80">
        <v>0.7083333333333334</v>
      </c>
      <c r="I1204" s="78">
        <v>46</v>
      </c>
      <c r="J1204" s="79">
        <v>11</v>
      </c>
      <c r="M1204" s="83">
        <v>38157</v>
      </c>
      <c r="N1204" s="80">
        <v>0.7083333333333334</v>
      </c>
      <c r="O1204" s="78">
        <v>13</v>
      </c>
      <c r="P1204" s="79">
        <v>0</v>
      </c>
    </row>
    <row r="1205" spans="1:16" ht="12.75">
      <c r="A1205" s="83">
        <v>38157</v>
      </c>
      <c r="B1205" s="80">
        <v>0.75</v>
      </c>
      <c r="C1205" s="78">
        <v>8</v>
      </c>
      <c r="D1205" s="79">
        <v>0</v>
      </c>
      <c r="G1205" s="83">
        <v>38157</v>
      </c>
      <c r="H1205" s="80">
        <v>0.75</v>
      </c>
      <c r="I1205" s="78">
        <v>44</v>
      </c>
      <c r="J1205" s="79">
        <v>8</v>
      </c>
      <c r="M1205" s="83">
        <v>38157</v>
      </c>
      <c r="N1205" s="80">
        <v>0.75</v>
      </c>
      <c r="O1205" s="78">
        <v>11</v>
      </c>
      <c r="P1205" s="79">
        <v>0</v>
      </c>
    </row>
    <row r="1206" spans="1:16" ht="12.75">
      <c r="A1206" s="83">
        <v>38157</v>
      </c>
      <c r="B1206" s="80">
        <v>0.7916666666666666</v>
      </c>
      <c r="C1206" s="78">
        <v>8</v>
      </c>
      <c r="D1206" s="79">
        <v>0</v>
      </c>
      <c r="G1206" s="83">
        <v>38157</v>
      </c>
      <c r="H1206" s="80">
        <v>0.7916666666666666</v>
      </c>
      <c r="I1206" s="78">
        <v>50</v>
      </c>
      <c r="J1206" s="79">
        <v>5</v>
      </c>
      <c r="M1206" s="83">
        <v>38157</v>
      </c>
      <c r="N1206" s="80">
        <v>0.7916666666666666</v>
      </c>
      <c r="O1206" s="78">
        <v>17</v>
      </c>
      <c r="P1206" s="79">
        <v>0</v>
      </c>
    </row>
    <row r="1207" spans="1:16" ht="12.75">
      <c r="A1207" s="83">
        <v>38157</v>
      </c>
      <c r="B1207" s="80">
        <v>0.8333333333333334</v>
      </c>
      <c r="C1207" s="78">
        <v>8</v>
      </c>
      <c r="D1207" s="79">
        <v>0</v>
      </c>
      <c r="G1207" s="83">
        <v>38157</v>
      </c>
      <c r="H1207" s="80">
        <v>0.8333333333333334</v>
      </c>
      <c r="I1207" s="78">
        <v>44</v>
      </c>
      <c r="J1207" s="79">
        <v>5</v>
      </c>
      <c r="M1207" s="83">
        <v>38157</v>
      </c>
      <c r="N1207" s="80">
        <v>0.8333333333333334</v>
      </c>
      <c r="O1207" s="78">
        <v>15</v>
      </c>
      <c r="P1207" s="79">
        <v>0</v>
      </c>
    </row>
    <row r="1208" spans="1:16" ht="12.75">
      <c r="A1208" s="83">
        <v>38157</v>
      </c>
      <c r="B1208" s="80">
        <v>0.875</v>
      </c>
      <c r="C1208" s="78">
        <v>11</v>
      </c>
      <c r="D1208" s="79">
        <v>0</v>
      </c>
      <c r="G1208" s="83">
        <v>38157</v>
      </c>
      <c r="H1208" s="80">
        <v>0.875</v>
      </c>
      <c r="I1208" s="78">
        <v>46</v>
      </c>
      <c r="J1208" s="79">
        <v>3</v>
      </c>
      <c r="M1208" s="83">
        <v>38157</v>
      </c>
      <c r="N1208" s="80">
        <v>0.875</v>
      </c>
      <c r="O1208" s="78">
        <v>17</v>
      </c>
      <c r="P1208" s="79">
        <v>0</v>
      </c>
    </row>
    <row r="1209" spans="1:16" ht="12.75">
      <c r="A1209" s="83">
        <v>38157</v>
      </c>
      <c r="B1209" s="80">
        <v>0.9166666666666666</v>
      </c>
      <c r="C1209" s="78">
        <v>13</v>
      </c>
      <c r="D1209" s="79">
        <v>3</v>
      </c>
      <c r="G1209" s="83">
        <v>38157</v>
      </c>
      <c r="H1209" s="80">
        <v>0.9166666666666666</v>
      </c>
      <c r="I1209" s="78">
        <v>48</v>
      </c>
      <c r="J1209" s="79">
        <v>3</v>
      </c>
      <c r="M1209" s="83">
        <v>38157</v>
      </c>
      <c r="N1209" s="80">
        <v>0.9166666666666666</v>
      </c>
      <c r="O1209" s="78">
        <v>19</v>
      </c>
      <c r="P1209" s="79">
        <v>0</v>
      </c>
    </row>
    <row r="1210" spans="1:16" ht="12.75">
      <c r="A1210" s="83">
        <v>38157</v>
      </c>
      <c r="B1210" s="80">
        <v>0.9583333333333334</v>
      </c>
      <c r="C1210" s="78">
        <v>17</v>
      </c>
      <c r="D1210" s="79">
        <v>3</v>
      </c>
      <c r="G1210" s="83">
        <v>38157</v>
      </c>
      <c r="H1210" s="80">
        <v>0.9583333333333334</v>
      </c>
      <c r="I1210" s="78">
        <v>53</v>
      </c>
      <c r="J1210" s="79">
        <v>3</v>
      </c>
      <c r="M1210" s="83">
        <v>38157</v>
      </c>
      <c r="N1210" s="80">
        <v>0.9583333333333334</v>
      </c>
      <c r="O1210" s="78">
        <v>17</v>
      </c>
      <c r="P1210" s="79">
        <v>0</v>
      </c>
    </row>
    <row r="1211" spans="1:16" ht="12.75">
      <c r="A1211" s="83">
        <v>38157</v>
      </c>
      <c r="B1211" s="81">
        <v>1</v>
      </c>
      <c r="C1211" s="78">
        <v>36</v>
      </c>
      <c r="D1211" s="79">
        <v>3</v>
      </c>
      <c r="G1211" s="83">
        <v>38157</v>
      </c>
      <c r="H1211" s="81">
        <v>1</v>
      </c>
      <c r="I1211" s="78">
        <v>53</v>
      </c>
      <c r="J1211" s="79">
        <v>3</v>
      </c>
      <c r="M1211" s="83">
        <v>38157</v>
      </c>
      <c r="N1211" s="81">
        <v>1</v>
      </c>
      <c r="O1211" s="78">
        <v>57</v>
      </c>
      <c r="P1211" s="79">
        <v>0</v>
      </c>
    </row>
    <row r="1212" spans="1:16" s="92" customFormat="1" ht="12.75">
      <c r="A1212" s="90">
        <v>38158</v>
      </c>
      <c r="B1212" s="91">
        <v>0.041666666666666664</v>
      </c>
      <c r="C1212" s="92">
        <v>32</v>
      </c>
      <c r="D1212" s="92">
        <v>3</v>
      </c>
      <c r="G1212" s="90">
        <v>38158</v>
      </c>
      <c r="H1212" s="91">
        <v>0.041666666666666664</v>
      </c>
      <c r="I1212" s="92">
        <v>32</v>
      </c>
      <c r="J1212" s="92">
        <v>3</v>
      </c>
      <c r="M1212" s="90">
        <v>38158</v>
      </c>
      <c r="N1212" s="91">
        <v>0.041666666666666664</v>
      </c>
      <c r="O1212" s="92">
        <v>48</v>
      </c>
      <c r="P1212" s="92">
        <v>0</v>
      </c>
    </row>
    <row r="1213" spans="1:16" ht="12.75">
      <c r="A1213" s="83">
        <v>38158</v>
      </c>
      <c r="B1213" s="80">
        <v>0.08333333333333333</v>
      </c>
      <c r="C1213" s="78">
        <v>31</v>
      </c>
      <c r="D1213" s="79">
        <v>3</v>
      </c>
      <c r="G1213" s="83">
        <v>38158</v>
      </c>
      <c r="H1213" s="80">
        <v>0.08333333333333333</v>
      </c>
      <c r="I1213" s="78">
        <v>34</v>
      </c>
      <c r="J1213" s="79">
        <v>3</v>
      </c>
      <c r="M1213" s="83">
        <v>38158</v>
      </c>
      <c r="N1213" s="80">
        <v>0.08333333333333333</v>
      </c>
      <c r="O1213" s="78">
        <v>25</v>
      </c>
      <c r="P1213" s="79">
        <v>0</v>
      </c>
    </row>
    <row r="1214" spans="1:16" ht="12.75">
      <c r="A1214" s="83">
        <v>38158</v>
      </c>
      <c r="B1214" s="80">
        <v>0.125</v>
      </c>
      <c r="C1214" s="78">
        <v>21</v>
      </c>
      <c r="D1214" s="79">
        <v>3</v>
      </c>
      <c r="G1214" s="83">
        <v>38158</v>
      </c>
      <c r="H1214" s="80">
        <v>0.125</v>
      </c>
      <c r="I1214" s="78">
        <v>31</v>
      </c>
      <c r="J1214" s="79">
        <v>0</v>
      </c>
      <c r="M1214" s="83">
        <v>38158</v>
      </c>
      <c r="N1214" s="80">
        <v>0.125</v>
      </c>
      <c r="O1214" s="78">
        <v>46</v>
      </c>
      <c r="P1214" s="79">
        <v>0</v>
      </c>
    </row>
    <row r="1215" spans="1:16" ht="12.75">
      <c r="A1215" s="83">
        <v>38158</v>
      </c>
      <c r="B1215" s="80">
        <v>0.16666666666666666</v>
      </c>
      <c r="C1215" s="78">
        <v>15</v>
      </c>
      <c r="D1215" s="79">
        <v>3</v>
      </c>
      <c r="G1215" s="83">
        <v>38158</v>
      </c>
      <c r="H1215" s="80">
        <v>0.16666666666666666</v>
      </c>
      <c r="I1215" s="78">
        <v>27</v>
      </c>
      <c r="J1215" s="79">
        <v>3</v>
      </c>
      <c r="M1215" s="83">
        <v>38158</v>
      </c>
      <c r="N1215" s="80">
        <v>0.16666666666666666</v>
      </c>
      <c r="O1215" s="78">
        <v>27</v>
      </c>
      <c r="P1215" s="79">
        <v>0</v>
      </c>
    </row>
    <row r="1216" spans="1:16" ht="12.75">
      <c r="A1216" s="83">
        <v>38158</v>
      </c>
      <c r="B1216" s="80">
        <v>0.20833333333333334</v>
      </c>
      <c r="C1216" s="78">
        <v>15</v>
      </c>
      <c r="D1216" s="79">
        <v>3</v>
      </c>
      <c r="G1216" s="83">
        <v>38158</v>
      </c>
      <c r="H1216" s="80">
        <v>0.20833333333333334</v>
      </c>
      <c r="I1216" s="78">
        <v>23</v>
      </c>
      <c r="J1216" s="79">
        <v>3</v>
      </c>
      <c r="M1216" s="83">
        <v>38158</v>
      </c>
      <c r="N1216" s="80">
        <v>0.20833333333333334</v>
      </c>
      <c r="O1216" s="78">
        <v>46</v>
      </c>
      <c r="P1216" s="79">
        <v>0</v>
      </c>
    </row>
    <row r="1217" spans="1:16" ht="12.75">
      <c r="A1217" s="83">
        <v>38158</v>
      </c>
      <c r="B1217" s="80">
        <v>0.25</v>
      </c>
      <c r="C1217" s="78">
        <v>13</v>
      </c>
      <c r="D1217" s="79">
        <v>3</v>
      </c>
      <c r="G1217" s="83">
        <v>38158</v>
      </c>
      <c r="H1217" s="80">
        <v>0.25</v>
      </c>
      <c r="I1217" s="78">
        <v>23</v>
      </c>
      <c r="J1217" s="79">
        <v>3</v>
      </c>
      <c r="M1217" s="83">
        <v>38158</v>
      </c>
      <c r="N1217" s="80">
        <v>0.25</v>
      </c>
      <c r="O1217" s="78">
        <v>34</v>
      </c>
      <c r="P1217" s="79">
        <v>0</v>
      </c>
    </row>
    <row r="1218" spans="1:16" ht="12.75">
      <c r="A1218" s="83">
        <v>38158</v>
      </c>
      <c r="B1218" s="80">
        <v>0.2916666666666667</v>
      </c>
      <c r="C1218" s="78">
        <v>17</v>
      </c>
      <c r="D1218" s="79">
        <v>3</v>
      </c>
      <c r="G1218" s="83">
        <v>38158</v>
      </c>
      <c r="H1218" s="80">
        <v>0.2916666666666667</v>
      </c>
      <c r="I1218" s="78">
        <v>27</v>
      </c>
      <c r="J1218" s="79">
        <v>3</v>
      </c>
      <c r="M1218" s="83">
        <v>38158</v>
      </c>
      <c r="N1218" s="80">
        <v>0.2916666666666667</v>
      </c>
      <c r="O1218" s="78">
        <v>10</v>
      </c>
      <c r="P1218" s="79">
        <v>0</v>
      </c>
    </row>
    <row r="1219" spans="1:16" ht="12.75">
      <c r="A1219" s="83">
        <v>38158</v>
      </c>
      <c r="B1219" s="80">
        <v>0.3333333333333333</v>
      </c>
      <c r="C1219" s="78">
        <v>10</v>
      </c>
      <c r="D1219" s="79">
        <v>3</v>
      </c>
      <c r="G1219" s="83">
        <v>38158</v>
      </c>
      <c r="H1219" s="80">
        <v>0.3333333333333333</v>
      </c>
      <c r="I1219" s="78">
        <v>21</v>
      </c>
      <c r="J1219" s="79">
        <v>3</v>
      </c>
      <c r="M1219" s="83">
        <v>38158</v>
      </c>
      <c r="N1219" s="80">
        <v>0.3333333333333333</v>
      </c>
      <c r="O1219" s="78">
        <v>10</v>
      </c>
      <c r="P1219" s="79">
        <v>0</v>
      </c>
    </row>
    <row r="1220" spans="1:16" ht="12.75">
      <c r="A1220" s="83">
        <v>38158</v>
      </c>
      <c r="B1220" s="80">
        <v>0.375</v>
      </c>
      <c r="C1220" s="78">
        <v>10</v>
      </c>
      <c r="D1220" s="79">
        <v>3</v>
      </c>
      <c r="G1220" s="83">
        <v>38158</v>
      </c>
      <c r="H1220" s="80">
        <v>0.375</v>
      </c>
      <c r="I1220" s="78">
        <v>19</v>
      </c>
      <c r="J1220" s="79">
        <v>3</v>
      </c>
      <c r="M1220" s="83">
        <v>38158</v>
      </c>
      <c r="N1220" s="80">
        <v>0.375</v>
      </c>
      <c r="O1220" s="78">
        <v>17</v>
      </c>
      <c r="P1220" s="79">
        <v>0</v>
      </c>
    </row>
    <row r="1221" spans="1:16" ht="12.75">
      <c r="A1221" s="83">
        <v>38158</v>
      </c>
      <c r="B1221" s="80">
        <v>0.4166666666666667</v>
      </c>
      <c r="C1221" s="78">
        <v>10</v>
      </c>
      <c r="D1221" s="79">
        <v>3</v>
      </c>
      <c r="G1221" s="83">
        <v>38158</v>
      </c>
      <c r="H1221" s="80">
        <v>0.4166666666666667</v>
      </c>
      <c r="I1221" s="78">
        <v>11</v>
      </c>
      <c r="J1221" s="79">
        <v>3</v>
      </c>
      <c r="M1221" s="83">
        <v>38158</v>
      </c>
      <c r="N1221" s="80">
        <v>0.4166666666666667</v>
      </c>
      <c r="O1221" s="78">
        <v>19</v>
      </c>
      <c r="P1221" s="79">
        <v>0</v>
      </c>
    </row>
    <row r="1222" spans="1:16" ht="12.75">
      <c r="A1222" s="83">
        <v>38158</v>
      </c>
      <c r="B1222" s="80">
        <v>0.4583333333333333</v>
      </c>
      <c r="C1222" s="78">
        <v>13</v>
      </c>
      <c r="D1222" s="79">
        <v>3</v>
      </c>
      <c r="G1222" s="83">
        <v>38158</v>
      </c>
      <c r="H1222" s="80">
        <v>0.4583333333333333</v>
      </c>
      <c r="I1222" s="78">
        <v>11</v>
      </c>
      <c r="J1222" s="79">
        <v>3</v>
      </c>
      <c r="M1222" s="83">
        <v>38158</v>
      </c>
      <c r="N1222" s="80">
        <v>0.4583333333333333</v>
      </c>
      <c r="O1222" s="78">
        <v>44</v>
      </c>
      <c r="P1222" s="79">
        <v>3</v>
      </c>
    </row>
    <row r="1223" spans="1:16" ht="12.75">
      <c r="A1223" s="83">
        <v>38158</v>
      </c>
      <c r="B1223" s="80">
        <v>0.5</v>
      </c>
      <c r="C1223" s="78">
        <v>13</v>
      </c>
      <c r="D1223" s="79">
        <v>3</v>
      </c>
      <c r="G1223" s="83">
        <v>38158</v>
      </c>
      <c r="H1223" s="80">
        <v>0.5</v>
      </c>
      <c r="I1223" s="78">
        <v>15</v>
      </c>
      <c r="J1223" s="79">
        <v>3</v>
      </c>
      <c r="M1223" s="83">
        <v>38158</v>
      </c>
      <c r="N1223" s="80">
        <v>0.5</v>
      </c>
      <c r="O1223" s="78">
        <v>31</v>
      </c>
      <c r="P1223" s="79">
        <v>0</v>
      </c>
    </row>
    <row r="1224" spans="1:16" ht="12.75">
      <c r="A1224" s="83">
        <v>38158</v>
      </c>
      <c r="B1224" s="80">
        <v>0.5416666666666666</v>
      </c>
      <c r="C1224" s="78">
        <v>13</v>
      </c>
      <c r="D1224" s="79">
        <v>3</v>
      </c>
      <c r="G1224" s="83">
        <v>38158</v>
      </c>
      <c r="H1224" s="80">
        <v>0.5416666666666666</v>
      </c>
      <c r="I1224" s="78">
        <v>8</v>
      </c>
      <c r="J1224" s="79">
        <v>3</v>
      </c>
      <c r="M1224" s="83">
        <v>38158</v>
      </c>
      <c r="N1224" s="80">
        <v>0.5416666666666666</v>
      </c>
      <c r="O1224" s="78">
        <v>57</v>
      </c>
      <c r="P1224" s="79">
        <v>0</v>
      </c>
    </row>
    <row r="1225" spans="1:16" ht="12.75">
      <c r="A1225" s="83">
        <v>38158</v>
      </c>
      <c r="B1225" s="80">
        <v>0.5833333333333334</v>
      </c>
      <c r="C1225" s="78">
        <v>13</v>
      </c>
      <c r="D1225" s="79">
        <v>3</v>
      </c>
      <c r="G1225" s="83">
        <v>38158</v>
      </c>
      <c r="H1225" s="80">
        <v>0.5833333333333334</v>
      </c>
      <c r="I1225" s="78">
        <v>8</v>
      </c>
      <c r="J1225" s="79">
        <v>0</v>
      </c>
      <c r="M1225" s="83">
        <v>38158</v>
      </c>
      <c r="N1225" s="80">
        <v>0.5833333333333334</v>
      </c>
      <c r="O1225" s="78">
        <v>42</v>
      </c>
      <c r="P1225" s="79">
        <v>0</v>
      </c>
    </row>
    <row r="1226" spans="1:16" ht="12.75">
      <c r="A1226" s="83">
        <v>38158</v>
      </c>
      <c r="B1226" s="80">
        <v>0.625</v>
      </c>
      <c r="C1226" s="78">
        <v>13</v>
      </c>
      <c r="D1226" s="79">
        <v>3</v>
      </c>
      <c r="G1226" s="83">
        <v>38158</v>
      </c>
      <c r="H1226" s="80">
        <v>0.625</v>
      </c>
      <c r="I1226" s="78">
        <v>11</v>
      </c>
      <c r="J1226" s="79">
        <v>3</v>
      </c>
      <c r="M1226" s="83">
        <v>38158</v>
      </c>
      <c r="N1226" s="80">
        <v>0.625</v>
      </c>
      <c r="O1226" s="78">
        <v>23</v>
      </c>
      <c r="P1226" s="79">
        <v>0</v>
      </c>
    </row>
    <row r="1227" spans="1:16" ht="12.75">
      <c r="A1227" s="83">
        <v>38158</v>
      </c>
      <c r="B1227" s="80">
        <v>0.6666666666666666</v>
      </c>
      <c r="C1227" s="78">
        <v>11</v>
      </c>
      <c r="D1227" s="79">
        <v>3</v>
      </c>
      <c r="G1227" s="83">
        <v>38158</v>
      </c>
      <c r="H1227" s="80">
        <v>0.6666666666666666</v>
      </c>
      <c r="I1227" s="78">
        <v>10</v>
      </c>
      <c r="J1227" s="79">
        <v>3</v>
      </c>
      <c r="M1227" s="83">
        <v>38158</v>
      </c>
      <c r="N1227" s="80">
        <v>0.6666666666666666</v>
      </c>
      <c r="O1227" s="78">
        <v>61</v>
      </c>
      <c r="P1227" s="79">
        <v>0</v>
      </c>
    </row>
    <row r="1228" spans="1:16" ht="12.75">
      <c r="A1228" s="83">
        <v>38158</v>
      </c>
      <c r="B1228" s="80">
        <v>0.7083333333333334</v>
      </c>
      <c r="C1228" s="78">
        <v>11</v>
      </c>
      <c r="D1228" s="79">
        <v>3</v>
      </c>
      <c r="G1228" s="83">
        <v>38158</v>
      </c>
      <c r="H1228" s="80">
        <v>0.7083333333333334</v>
      </c>
      <c r="I1228" s="78">
        <v>10</v>
      </c>
      <c r="J1228" s="79">
        <v>5</v>
      </c>
      <c r="M1228" s="83">
        <v>38158</v>
      </c>
      <c r="N1228" s="80">
        <v>0.7083333333333334</v>
      </c>
      <c r="O1228" s="78">
        <v>53</v>
      </c>
      <c r="P1228" s="79">
        <v>0</v>
      </c>
    </row>
    <row r="1229" spans="1:16" ht="12.75">
      <c r="A1229" s="83">
        <v>38158</v>
      </c>
      <c r="B1229" s="80">
        <v>0.75</v>
      </c>
      <c r="C1229" s="78">
        <v>11</v>
      </c>
      <c r="D1229" s="79">
        <v>3</v>
      </c>
      <c r="G1229" s="83">
        <v>38158</v>
      </c>
      <c r="H1229" s="80">
        <v>0.75</v>
      </c>
      <c r="I1229" s="78">
        <v>13</v>
      </c>
      <c r="J1229" s="79">
        <v>3</v>
      </c>
      <c r="M1229" s="83">
        <v>38158</v>
      </c>
      <c r="N1229" s="80">
        <v>0.75</v>
      </c>
      <c r="O1229" s="78">
        <v>57</v>
      </c>
      <c r="P1229" s="79">
        <v>0</v>
      </c>
    </row>
    <row r="1230" spans="1:16" ht="12.75">
      <c r="A1230" s="83">
        <v>38158</v>
      </c>
      <c r="B1230" s="80">
        <v>0.7916666666666666</v>
      </c>
      <c r="C1230" s="78">
        <v>13</v>
      </c>
      <c r="D1230" s="79">
        <v>3</v>
      </c>
      <c r="G1230" s="83">
        <v>38158</v>
      </c>
      <c r="H1230" s="80">
        <v>0.7916666666666666</v>
      </c>
      <c r="I1230" s="78">
        <v>10</v>
      </c>
      <c r="J1230" s="79">
        <v>3</v>
      </c>
      <c r="M1230" s="83">
        <v>38158</v>
      </c>
      <c r="N1230" s="80">
        <v>0.7916666666666666</v>
      </c>
      <c r="O1230" s="78">
        <v>63</v>
      </c>
      <c r="P1230" s="79">
        <v>0</v>
      </c>
    </row>
    <row r="1231" spans="1:16" ht="12.75">
      <c r="A1231" s="83">
        <v>38158</v>
      </c>
      <c r="B1231" s="80">
        <v>0.8333333333333334</v>
      </c>
      <c r="C1231" s="78">
        <v>13</v>
      </c>
      <c r="D1231" s="79">
        <v>3</v>
      </c>
      <c r="G1231" s="83">
        <v>38158</v>
      </c>
      <c r="H1231" s="80">
        <v>0.8333333333333334</v>
      </c>
      <c r="I1231" s="78">
        <v>13</v>
      </c>
      <c r="J1231" s="79">
        <v>5</v>
      </c>
      <c r="M1231" s="83">
        <v>38158</v>
      </c>
      <c r="N1231" s="80">
        <v>0.8333333333333334</v>
      </c>
      <c r="O1231" s="78">
        <v>61</v>
      </c>
      <c r="P1231" s="79">
        <v>0</v>
      </c>
    </row>
    <row r="1232" spans="1:16" ht="12.75">
      <c r="A1232" s="83">
        <v>38158</v>
      </c>
      <c r="B1232" s="80">
        <v>0.875</v>
      </c>
      <c r="C1232" s="78">
        <v>13</v>
      </c>
      <c r="D1232" s="79">
        <v>3</v>
      </c>
      <c r="G1232" s="83">
        <v>38158</v>
      </c>
      <c r="H1232" s="80">
        <v>0.875</v>
      </c>
      <c r="I1232" s="78">
        <v>19</v>
      </c>
      <c r="J1232" s="79">
        <v>3</v>
      </c>
      <c r="M1232" s="83">
        <v>38158</v>
      </c>
      <c r="N1232" s="80">
        <v>0.875</v>
      </c>
      <c r="O1232" s="78">
        <v>73</v>
      </c>
      <c r="P1232" s="79">
        <v>0</v>
      </c>
    </row>
    <row r="1233" spans="1:16" ht="12.75">
      <c r="A1233" s="83">
        <v>38158</v>
      </c>
      <c r="B1233" s="80">
        <v>0.9166666666666666</v>
      </c>
      <c r="C1233" s="78">
        <v>19</v>
      </c>
      <c r="D1233" s="79">
        <v>3</v>
      </c>
      <c r="G1233" s="83">
        <v>38158</v>
      </c>
      <c r="H1233" s="80">
        <v>0.9166666666666666</v>
      </c>
      <c r="I1233" s="78">
        <v>10</v>
      </c>
      <c r="J1233" s="79">
        <v>0</v>
      </c>
      <c r="M1233" s="83">
        <v>38158</v>
      </c>
      <c r="N1233" s="80">
        <v>0.9166666666666666</v>
      </c>
      <c r="O1233" s="78">
        <v>67</v>
      </c>
      <c r="P1233" s="79">
        <v>0</v>
      </c>
    </row>
    <row r="1234" spans="1:16" ht="12.75">
      <c r="A1234" s="83">
        <v>38158</v>
      </c>
      <c r="B1234" s="80">
        <v>0.9583333333333334</v>
      </c>
      <c r="C1234" s="78">
        <v>17</v>
      </c>
      <c r="D1234" s="79">
        <v>3</v>
      </c>
      <c r="G1234" s="83">
        <v>38158</v>
      </c>
      <c r="H1234" s="80">
        <v>0.9583333333333334</v>
      </c>
      <c r="I1234" s="78">
        <v>17</v>
      </c>
      <c r="J1234" s="79">
        <v>3</v>
      </c>
      <c r="M1234" s="83">
        <v>38158</v>
      </c>
      <c r="N1234" s="80">
        <v>0.9583333333333334</v>
      </c>
      <c r="O1234" s="78">
        <v>63</v>
      </c>
      <c r="P1234" s="79">
        <v>0</v>
      </c>
    </row>
    <row r="1235" spans="1:16" ht="12.75">
      <c r="A1235" s="83">
        <v>38158</v>
      </c>
      <c r="B1235" s="81">
        <v>1</v>
      </c>
      <c r="C1235" s="78">
        <v>23</v>
      </c>
      <c r="D1235" s="79">
        <v>3</v>
      </c>
      <c r="G1235" s="83">
        <v>38158</v>
      </c>
      <c r="H1235" s="81">
        <v>1</v>
      </c>
      <c r="I1235" s="78">
        <v>19</v>
      </c>
      <c r="J1235" s="79">
        <v>3</v>
      </c>
      <c r="M1235" s="83">
        <v>38158</v>
      </c>
      <c r="N1235" s="81">
        <v>1</v>
      </c>
      <c r="O1235" s="78">
        <v>50</v>
      </c>
      <c r="P1235" s="79">
        <v>0</v>
      </c>
    </row>
    <row r="1236" spans="1:16" s="92" customFormat="1" ht="12.75">
      <c r="A1236" s="90">
        <v>38159</v>
      </c>
      <c r="B1236" s="91">
        <v>0.041666666666666664</v>
      </c>
      <c r="C1236" s="92">
        <v>27</v>
      </c>
      <c r="D1236" s="92">
        <v>11</v>
      </c>
      <c r="G1236" s="90">
        <v>38159</v>
      </c>
      <c r="H1236" s="91">
        <v>0.041666666666666664</v>
      </c>
      <c r="I1236" s="92">
        <v>13</v>
      </c>
      <c r="J1236" s="92">
        <v>3</v>
      </c>
      <c r="M1236" s="90">
        <v>38159</v>
      </c>
      <c r="N1236" s="91">
        <v>0.041666666666666664</v>
      </c>
      <c r="O1236" s="92">
        <v>32</v>
      </c>
      <c r="P1236" s="92">
        <v>0</v>
      </c>
    </row>
    <row r="1237" spans="1:16" ht="12.75">
      <c r="A1237" s="83">
        <v>38159</v>
      </c>
      <c r="B1237" s="80">
        <v>0.08333333333333333</v>
      </c>
      <c r="C1237" s="78">
        <v>23</v>
      </c>
      <c r="D1237" s="79">
        <v>0</v>
      </c>
      <c r="G1237" s="83">
        <v>38159</v>
      </c>
      <c r="H1237" s="80">
        <v>0.08333333333333333</v>
      </c>
      <c r="I1237" s="78">
        <v>15</v>
      </c>
      <c r="J1237" s="79">
        <v>3</v>
      </c>
      <c r="M1237" s="83">
        <v>38159</v>
      </c>
      <c r="N1237" s="80">
        <v>0.08333333333333333</v>
      </c>
      <c r="O1237" s="78">
        <v>40</v>
      </c>
      <c r="P1237" s="79">
        <v>0</v>
      </c>
    </row>
    <row r="1238" spans="1:16" ht="12.75">
      <c r="A1238" s="83">
        <v>38159</v>
      </c>
      <c r="B1238" s="80">
        <v>0.125</v>
      </c>
      <c r="C1238" s="78">
        <v>21</v>
      </c>
      <c r="D1238" s="79">
        <v>11</v>
      </c>
      <c r="G1238" s="83">
        <v>38159</v>
      </c>
      <c r="H1238" s="80">
        <v>0.125</v>
      </c>
      <c r="I1238" s="78">
        <v>29</v>
      </c>
      <c r="J1238" s="79">
        <v>3</v>
      </c>
      <c r="M1238" s="83">
        <v>38159</v>
      </c>
      <c r="N1238" s="80">
        <v>0.125</v>
      </c>
      <c r="O1238" s="78">
        <v>48</v>
      </c>
      <c r="P1238" s="79">
        <v>0</v>
      </c>
    </row>
    <row r="1239" spans="1:16" ht="12.75">
      <c r="A1239" s="83">
        <v>38159</v>
      </c>
      <c r="B1239" s="80">
        <v>0.16666666666666666</v>
      </c>
      <c r="C1239" s="78">
        <v>21</v>
      </c>
      <c r="D1239" s="79">
        <v>11</v>
      </c>
      <c r="G1239" s="83">
        <v>38159</v>
      </c>
      <c r="H1239" s="80">
        <v>0.16666666666666666</v>
      </c>
      <c r="I1239" s="78">
        <v>52</v>
      </c>
      <c r="J1239" s="79">
        <v>5</v>
      </c>
      <c r="M1239" s="83">
        <v>38159</v>
      </c>
      <c r="N1239" s="80">
        <v>0.16666666666666666</v>
      </c>
      <c r="O1239" s="78">
        <v>50</v>
      </c>
      <c r="P1239" s="79">
        <v>0</v>
      </c>
    </row>
    <row r="1240" spans="1:16" ht="12.75">
      <c r="A1240" s="83">
        <v>38159</v>
      </c>
      <c r="B1240" s="80">
        <v>0.20833333333333334</v>
      </c>
      <c r="C1240" s="78">
        <v>27</v>
      </c>
      <c r="D1240" s="79">
        <v>11</v>
      </c>
      <c r="G1240" s="83">
        <v>38159</v>
      </c>
      <c r="H1240" s="80">
        <v>0.20833333333333334</v>
      </c>
      <c r="I1240" s="78">
        <v>40</v>
      </c>
      <c r="J1240" s="79">
        <v>5</v>
      </c>
      <c r="M1240" s="83">
        <v>38159</v>
      </c>
      <c r="N1240" s="80">
        <v>0.20833333333333334</v>
      </c>
      <c r="O1240" s="78">
        <v>57</v>
      </c>
      <c r="P1240" s="79">
        <v>0</v>
      </c>
    </row>
    <row r="1241" spans="1:16" ht="12.75">
      <c r="A1241" s="83">
        <v>38159</v>
      </c>
      <c r="B1241" s="80">
        <v>0.25</v>
      </c>
      <c r="C1241" s="78">
        <v>27</v>
      </c>
      <c r="D1241" s="79">
        <v>11</v>
      </c>
      <c r="G1241" s="83">
        <v>38159</v>
      </c>
      <c r="H1241" s="80">
        <v>0.25</v>
      </c>
      <c r="I1241" s="78">
        <v>48</v>
      </c>
      <c r="J1241" s="79">
        <v>5</v>
      </c>
      <c r="M1241" s="83">
        <v>38159</v>
      </c>
      <c r="N1241" s="80">
        <v>0.25</v>
      </c>
      <c r="O1241" s="78">
        <v>63</v>
      </c>
      <c r="P1241" s="79">
        <v>3</v>
      </c>
    </row>
    <row r="1242" spans="1:16" ht="12.75">
      <c r="A1242" s="83">
        <v>38159</v>
      </c>
      <c r="B1242" s="80">
        <v>0.2916666666666667</v>
      </c>
      <c r="C1242" s="78">
        <v>32</v>
      </c>
      <c r="D1242" s="79">
        <v>11</v>
      </c>
      <c r="G1242" s="83">
        <v>38159</v>
      </c>
      <c r="H1242" s="80">
        <v>0.2916666666666667</v>
      </c>
      <c r="I1242" s="78">
        <v>53</v>
      </c>
      <c r="J1242" s="79">
        <v>5</v>
      </c>
      <c r="M1242" s="83">
        <v>38159</v>
      </c>
      <c r="N1242" s="80">
        <v>0.2916666666666667</v>
      </c>
      <c r="O1242" s="78">
        <v>52</v>
      </c>
      <c r="P1242" s="79">
        <v>3</v>
      </c>
    </row>
    <row r="1243" spans="1:16" ht="12.75">
      <c r="A1243" s="83">
        <v>38159</v>
      </c>
      <c r="B1243" s="80">
        <v>0.3333333333333333</v>
      </c>
      <c r="C1243" s="78">
        <v>40</v>
      </c>
      <c r="D1243" s="79">
        <v>13</v>
      </c>
      <c r="G1243" s="83">
        <v>38159</v>
      </c>
      <c r="H1243" s="80">
        <v>0.3333333333333333</v>
      </c>
      <c r="I1243" s="78">
        <v>32</v>
      </c>
      <c r="J1243" s="79">
        <v>3</v>
      </c>
      <c r="M1243" s="83">
        <v>38159</v>
      </c>
      <c r="N1243" s="80">
        <v>0.3333333333333333</v>
      </c>
      <c r="O1243" s="78">
        <v>50</v>
      </c>
      <c r="P1243" s="79">
        <v>3</v>
      </c>
    </row>
    <row r="1244" spans="1:16" ht="12.75">
      <c r="A1244" s="83">
        <v>38159</v>
      </c>
      <c r="B1244" s="80">
        <v>0.375</v>
      </c>
      <c r="C1244" s="78">
        <v>42</v>
      </c>
      <c r="D1244" s="79">
        <v>48</v>
      </c>
      <c r="G1244" s="83">
        <v>38159</v>
      </c>
      <c r="H1244" s="80">
        <v>0.375</v>
      </c>
      <c r="I1244" s="78">
        <v>29</v>
      </c>
      <c r="J1244" s="79">
        <v>3</v>
      </c>
      <c r="M1244" s="83">
        <v>38159</v>
      </c>
      <c r="N1244" s="80">
        <v>0.375</v>
      </c>
      <c r="O1244" s="78">
        <v>48</v>
      </c>
      <c r="P1244" s="79">
        <v>3</v>
      </c>
    </row>
    <row r="1245" spans="1:16" ht="12.75">
      <c r="A1245" s="83">
        <v>38159</v>
      </c>
      <c r="B1245" s="80">
        <v>0.4166666666666667</v>
      </c>
      <c r="C1245" s="78">
        <v>40</v>
      </c>
      <c r="D1245" s="79">
        <v>13</v>
      </c>
      <c r="G1245" s="83">
        <v>38159</v>
      </c>
      <c r="H1245" s="80">
        <v>0.4166666666666667</v>
      </c>
      <c r="I1245" s="78">
        <v>29</v>
      </c>
      <c r="J1245" s="79">
        <v>3</v>
      </c>
      <c r="M1245" s="83">
        <v>38159</v>
      </c>
      <c r="N1245" s="80">
        <v>0.4166666666666667</v>
      </c>
      <c r="O1245" s="78">
        <v>32</v>
      </c>
      <c r="P1245" s="79">
        <v>0</v>
      </c>
    </row>
    <row r="1246" spans="1:16" ht="12.75">
      <c r="A1246" s="83">
        <v>38159</v>
      </c>
      <c r="B1246" s="80">
        <v>0.4583333333333333</v>
      </c>
      <c r="C1246" s="78">
        <v>46</v>
      </c>
      <c r="D1246" s="79">
        <v>13</v>
      </c>
      <c r="G1246" s="83">
        <v>38159</v>
      </c>
      <c r="H1246" s="80">
        <v>0.4583333333333333</v>
      </c>
      <c r="I1246" s="78">
        <v>29</v>
      </c>
      <c r="J1246" s="79">
        <v>3</v>
      </c>
      <c r="M1246" s="83">
        <v>38159</v>
      </c>
      <c r="N1246" s="80">
        <v>0.4583333333333333</v>
      </c>
      <c r="O1246" s="78">
        <v>29</v>
      </c>
      <c r="P1246" s="79">
        <v>0</v>
      </c>
    </row>
    <row r="1247" spans="1:16" ht="12.75">
      <c r="A1247" s="83">
        <v>38159</v>
      </c>
      <c r="B1247" s="80">
        <v>0.5</v>
      </c>
      <c r="C1247" s="78">
        <v>31</v>
      </c>
      <c r="D1247" s="79">
        <v>19</v>
      </c>
      <c r="G1247" s="83">
        <v>38159</v>
      </c>
      <c r="H1247" s="80">
        <v>0.5</v>
      </c>
      <c r="I1247" s="78">
        <v>25</v>
      </c>
      <c r="J1247" s="79">
        <v>3</v>
      </c>
      <c r="M1247" s="83">
        <v>38159</v>
      </c>
      <c r="N1247" s="80">
        <v>0.5</v>
      </c>
      <c r="O1247" s="78">
        <v>53</v>
      </c>
      <c r="P1247" s="79">
        <v>3</v>
      </c>
    </row>
    <row r="1248" spans="1:16" ht="12.75">
      <c r="A1248" s="83">
        <v>38159</v>
      </c>
      <c r="B1248" s="80">
        <v>0.5416666666666666</v>
      </c>
      <c r="C1248" s="78">
        <v>38</v>
      </c>
      <c r="D1248" s="79">
        <v>48</v>
      </c>
      <c r="G1248" s="83">
        <v>38159</v>
      </c>
      <c r="H1248" s="80">
        <v>0.5416666666666666</v>
      </c>
      <c r="I1248" s="78">
        <v>25</v>
      </c>
      <c r="J1248" s="79">
        <v>3</v>
      </c>
      <c r="M1248" s="83">
        <v>38159</v>
      </c>
      <c r="N1248" s="80">
        <v>0.5416666666666666</v>
      </c>
      <c r="O1248" s="78">
        <v>57</v>
      </c>
      <c r="P1248" s="79">
        <v>0</v>
      </c>
    </row>
    <row r="1249" spans="1:16" ht="12.75">
      <c r="A1249" s="83">
        <v>38159</v>
      </c>
      <c r="B1249" s="80">
        <v>0.5833333333333334</v>
      </c>
      <c r="C1249" s="78">
        <v>27</v>
      </c>
      <c r="D1249" s="79">
        <v>37</v>
      </c>
      <c r="G1249" s="83">
        <v>38159</v>
      </c>
      <c r="H1249" s="80">
        <v>0.5833333333333334</v>
      </c>
      <c r="I1249" s="78">
        <v>38</v>
      </c>
      <c r="J1249" s="79">
        <v>13</v>
      </c>
      <c r="M1249" s="83">
        <v>38159</v>
      </c>
      <c r="N1249" s="80">
        <v>0.5833333333333334</v>
      </c>
      <c r="O1249" s="78">
        <v>27</v>
      </c>
      <c r="P1249" s="79">
        <v>0</v>
      </c>
    </row>
    <row r="1250" spans="1:16" ht="12.75">
      <c r="A1250" s="83">
        <v>38159</v>
      </c>
      <c r="B1250" s="80">
        <v>0.625</v>
      </c>
      <c r="C1250" s="78">
        <v>32</v>
      </c>
      <c r="D1250" s="79">
        <v>11</v>
      </c>
      <c r="G1250" s="83">
        <v>38159</v>
      </c>
      <c r="H1250" s="80">
        <v>0.625</v>
      </c>
      <c r="I1250" s="78">
        <v>42</v>
      </c>
      <c r="J1250" s="79">
        <v>21</v>
      </c>
      <c r="M1250" s="83">
        <v>38159</v>
      </c>
      <c r="N1250" s="80">
        <v>0.625</v>
      </c>
      <c r="O1250" s="78">
        <v>32</v>
      </c>
      <c r="P1250" s="79">
        <v>0</v>
      </c>
    </row>
    <row r="1251" spans="1:16" ht="12.75">
      <c r="A1251" s="83">
        <v>38159</v>
      </c>
      <c r="B1251" s="80">
        <v>0.6666666666666666</v>
      </c>
      <c r="C1251" s="78">
        <v>21</v>
      </c>
      <c r="D1251" s="79">
        <v>11</v>
      </c>
      <c r="G1251" s="83">
        <v>38159</v>
      </c>
      <c r="H1251" s="80">
        <v>0.6666666666666666</v>
      </c>
      <c r="I1251" s="78">
        <v>31</v>
      </c>
      <c r="J1251" s="79">
        <v>13</v>
      </c>
      <c r="M1251" s="83">
        <v>38159</v>
      </c>
      <c r="N1251" s="80">
        <v>0.6666666666666666</v>
      </c>
      <c r="O1251" s="78">
        <v>32</v>
      </c>
      <c r="P1251" s="79">
        <v>3</v>
      </c>
    </row>
    <row r="1252" spans="1:16" ht="12.75">
      <c r="A1252" s="83">
        <v>38159</v>
      </c>
      <c r="B1252" s="80">
        <v>0.7083333333333334</v>
      </c>
      <c r="C1252" s="78">
        <v>25</v>
      </c>
      <c r="D1252" s="79">
        <v>11</v>
      </c>
      <c r="G1252" s="83">
        <v>38159</v>
      </c>
      <c r="H1252" s="80">
        <v>0.7083333333333334</v>
      </c>
      <c r="I1252" s="78">
        <v>38</v>
      </c>
      <c r="J1252" s="79">
        <v>11</v>
      </c>
      <c r="M1252" s="83">
        <v>38159</v>
      </c>
      <c r="N1252" s="80">
        <v>0.7083333333333334</v>
      </c>
      <c r="O1252" s="78">
        <v>55</v>
      </c>
      <c r="P1252" s="79">
        <v>3</v>
      </c>
    </row>
    <row r="1253" spans="1:16" ht="12.75">
      <c r="A1253" s="83">
        <v>38159</v>
      </c>
      <c r="B1253" s="80">
        <v>0.75</v>
      </c>
      <c r="C1253" s="78">
        <v>13</v>
      </c>
      <c r="D1253" s="79">
        <v>11</v>
      </c>
      <c r="G1253" s="83">
        <v>38159</v>
      </c>
      <c r="H1253" s="80">
        <v>0.75</v>
      </c>
      <c r="I1253" s="78">
        <v>46</v>
      </c>
      <c r="J1253" s="79">
        <v>11</v>
      </c>
      <c r="M1253" s="83">
        <v>38159</v>
      </c>
      <c r="N1253" s="80">
        <v>0.75</v>
      </c>
      <c r="O1253" s="78">
        <v>52</v>
      </c>
      <c r="P1253" s="79">
        <v>0</v>
      </c>
    </row>
    <row r="1254" spans="1:16" ht="12.75">
      <c r="A1254" s="83">
        <v>38159</v>
      </c>
      <c r="B1254" s="80">
        <v>0.7916666666666666</v>
      </c>
      <c r="C1254" s="78">
        <v>15</v>
      </c>
      <c r="D1254" s="79">
        <v>11</v>
      </c>
      <c r="G1254" s="83">
        <v>38159</v>
      </c>
      <c r="H1254" s="80">
        <v>0.7916666666666666</v>
      </c>
      <c r="I1254" s="78">
        <v>40</v>
      </c>
      <c r="J1254" s="79">
        <v>11</v>
      </c>
      <c r="M1254" s="83">
        <v>38159</v>
      </c>
      <c r="N1254" s="80">
        <v>0.7916666666666666</v>
      </c>
      <c r="O1254" s="78">
        <v>34</v>
      </c>
      <c r="P1254" s="79">
        <v>0</v>
      </c>
    </row>
    <row r="1255" spans="1:16" ht="12.75">
      <c r="A1255" s="83">
        <v>38159</v>
      </c>
      <c r="B1255" s="80">
        <v>0.8333333333333334</v>
      </c>
      <c r="C1255" s="78">
        <v>27</v>
      </c>
      <c r="D1255" s="79">
        <v>11</v>
      </c>
      <c r="G1255" s="83">
        <v>38159</v>
      </c>
      <c r="H1255" s="80">
        <v>0.8333333333333334</v>
      </c>
      <c r="I1255" s="78">
        <v>32</v>
      </c>
      <c r="J1255" s="79">
        <v>8</v>
      </c>
      <c r="M1255" s="83">
        <v>38159</v>
      </c>
      <c r="N1255" s="80">
        <v>0.8333333333333334</v>
      </c>
      <c r="O1255" s="78">
        <v>52</v>
      </c>
      <c r="P1255" s="79">
        <v>0</v>
      </c>
    </row>
    <row r="1256" spans="1:16" ht="12.75">
      <c r="A1256" s="83">
        <v>38159</v>
      </c>
      <c r="B1256" s="80">
        <v>0.875</v>
      </c>
      <c r="C1256" s="78">
        <v>21</v>
      </c>
      <c r="D1256" s="79">
        <v>11</v>
      </c>
      <c r="G1256" s="83">
        <v>38159</v>
      </c>
      <c r="H1256" s="80">
        <v>0.875</v>
      </c>
      <c r="I1256" s="78">
        <v>36</v>
      </c>
      <c r="J1256" s="79">
        <v>11</v>
      </c>
      <c r="M1256" s="83">
        <v>38159</v>
      </c>
      <c r="N1256" s="80">
        <v>0.875</v>
      </c>
      <c r="O1256" s="78">
        <v>69</v>
      </c>
      <c r="P1256" s="79">
        <v>0</v>
      </c>
    </row>
    <row r="1257" spans="1:16" ht="12.75">
      <c r="A1257" s="83">
        <v>38159</v>
      </c>
      <c r="B1257" s="80">
        <v>0.9166666666666666</v>
      </c>
      <c r="C1257" s="78">
        <v>27</v>
      </c>
      <c r="D1257" s="79">
        <v>11</v>
      </c>
      <c r="G1257" s="83">
        <v>38159</v>
      </c>
      <c r="H1257" s="80">
        <v>0.9166666666666666</v>
      </c>
      <c r="I1257" s="78">
        <v>46</v>
      </c>
      <c r="J1257" s="79">
        <v>5</v>
      </c>
      <c r="M1257" s="83">
        <v>38159</v>
      </c>
      <c r="N1257" s="80">
        <v>0.9166666666666666</v>
      </c>
      <c r="O1257" s="78">
        <v>74</v>
      </c>
      <c r="P1257" s="79">
        <v>0</v>
      </c>
    </row>
    <row r="1258" spans="1:16" ht="12.75">
      <c r="A1258" s="83">
        <v>38159</v>
      </c>
      <c r="B1258" s="80">
        <v>0.9583333333333334</v>
      </c>
      <c r="C1258" s="78">
        <v>27</v>
      </c>
      <c r="D1258" s="79">
        <v>11</v>
      </c>
      <c r="G1258" s="83">
        <v>38159</v>
      </c>
      <c r="H1258" s="80">
        <v>0.9583333333333334</v>
      </c>
      <c r="I1258" s="78">
        <v>36</v>
      </c>
      <c r="J1258" s="79">
        <v>0</v>
      </c>
      <c r="M1258" s="83">
        <v>38159</v>
      </c>
      <c r="N1258" s="80">
        <v>0.9583333333333334</v>
      </c>
      <c r="O1258" s="78">
        <v>74</v>
      </c>
      <c r="P1258" s="79">
        <v>0</v>
      </c>
    </row>
    <row r="1259" spans="1:16" ht="12.75">
      <c r="A1259" s="83">
        <v>38159</v>
      </c>
      <c r="B1259" s="81">
        <v>1</v>
      </c>
      <c r="C1259" s="78">
        <v>23</v>
      </c>
      <c r="D1259" s="79">
        <v>11</v>
      </c>
      <c r="G1259" s="83">
        <v>38159</v>
      </c>
      <c r="H1259" s="81">
        <v>1</v>
      </c>
      <c r="I1259" s="78">
        <v>19</v>
      </c>
      <c r="J1259" s="79">
        <v>0</v>
      </c>
      <c r="M1259" s="83">
        <v>38159</v>
      </c>
      <c r="N1259" s="81">
        <v>1</v>
      </c>
      <c r="O1259" s="78">
        <v>59</v>
      </c>
      <c r="P1259" s="79">
        <v>0</v>
      </c>
    </row>
    <row r="1260" spans="1:16" s="92" customFormat="1" ht="12.75">
      <c r="A1260" s="90">
        <v>38160</v>
      </c>
      <c r="B1260" s="91">
        <v>0.041666666666666664</v>
      </c>
      <c r="C1260" s="92">
        <v>32</v>
      </c>
      <c r="D1260" s="92">
        <v>3</v>
      </c>
      <c r="G1260" s="90">
        <v>38160</v>
      </c>
      <c r="H1260" s="91">
        <v>0.041666666666666664</v>
      </c>
      <c r="I1260" s="92">
        <v>17</v>
      </c>
      <c r="J1260" s="92">
        <v>0</v>
      </c>
      <c r="M1260" s="90">
        <v>38160</v>
      </c>
      <c r="N1260" s="91">
        <v>0.041666666666666664</v>
      </c>
      <c r="O1260" s="92">
        <v>52</v>
      </c>
      <c r="P1260" s="92">
        <v>0</v>
      </c>
    </row>
    <row r="1261" spans="1:16" ht="12.75">
      <c r="A1261" s="83">
        <v>38160</v>
      </c>
      <c r="B1261" s="80">
        <v>0.08333333333333333</v>
      </c>
      <c r="C1261" s="78">
        <v>31</v>
      </c>
      <c r="D1261" s="79">
        <v>3</v>
      </c>
      <c r="G1261" s="83">
        <v>38160</v>
      </c>
      <c r="H1261" s="80">
        <v>0.08333333333333333</v>
      </c>
      <c r="I1261" s="78">
        <v>19</v>
      </c>
      <c r="J1261" s="79">
        <v>0</v>
      </c>
      <c r="M1261" s="83">
        <v>38160</v>
      </c>
      <c r="N1261" s="80">
        <v>0.08333333333333333</v>
      </c>
      <c r="O1261" s="78">
        <v>52</v>
      </c>
      <c r="P1261" s="79">
        <v>0</v>
      </c>
    </row>
    <row r="1262" spans="1:16" ht="12.75">
      <c r="A1262" s="83">
        <v>38160</v>
      </c>
      <c r="B1262" s="80">
        <v>0.125</v>
      </c>
      <c r="C1262" s="78">
        <v>31</v>
      </c>
      <c r="D1262" s="79">
        <v>3</v>
      </c>
      <c r="G1262" s="83">
        <v>38160</v>
      </c>
      <c r="H1262" s="80">
        <v>0.125</v>
      </c>
      <c r="I1262" s="78">
        <v>19</v>
      </c>
      <c r="J1262" s="79">
        <v>0</v>
      </c>
      <c r="M1262" s="83">
        <v>38160</v>
      </c>
      <c r="N1262" s="80">
        <v>0.125</v>
      </c>
      <c r="O1262" s="78">
        <v>44</v>
      </c>
      <c r="P1262" s="79">
        <v>0</v>
      </c>
    </row>
    <row r="1263" spans="1:16" ht="12.75">
      <c r="A1263" s="83">
        <v>38160</v>
      </c>
      <c r="B1263" s="80">
        <v>0.16666666666666666</v>
      </c>
      <c r="C1263" s="78">
        <v>29</v>
      </c>
      <c r="D1263" s="79">
        <v>3</v>
      </c>
      <c r="G1263" s="83">
        <v>38160</v>
      </c>
      <c r="H1263" s="80">
        <v>0.16666666666666666</v>
      </c>
      <c r="I1263" s="78">
        <v>29</v>
      </c>
      <c r="J1263" s="79">
        <v>0</v>
      </c>
      <c r="M1263" s="83">
        <v>38160</v>
      </c>
      <c r="N1263" s="80">
        <v>0.16666666666666666</v>
      </c>
      <c r="O1263" s="78">
        <v>50</v>
      </c>
      <c r="P1263" s="79">
        <v>0</v>
      </c>
    </row>
    <row r="1264" spans="1:16" ht="12.75">
      <c r="A1264" s="83">
        <v>38160</v>
      </c>
      <c r="B1264" s="80">
        <v>0.20833333333333334</v>
      </c>
      <c r="C1264" s="78">
        <v>29</v>
      </c>
      <c r="D1264" s="79">
        <v>3</v>
      </c>
      <c r="G1264" s="83">
        <v>38160</v>
      </c>
      <c r="H1264" s="80">
        <v>0.20833333333333334</v>
      </c>
      <c r="I1264" s="78">
        <v>32</v>
      </c>
      <c r="J1264" s="79">
        <v>3</v>
      </c>
      <c r="M1264" s="83">
        <v>38160</v>
      </c>
      <c r="N1264" s="80">
        <v>0.20833333333333334</v>
      </c>
      <c r="O1264" s="78">
        <v>55</v>
      </c>
      <c r="P1264" s="79">
        <v>3</v>
      </c>
    </row>
    <row r="1265" spans="1:16" ht="12.75">
      <c r="A1265" s="83">
        <v>38160</v>
      </c>
      <c r="B1265" s="80">
        <v>0.25</v>
      </c>
      <c r="C1265" s="78">
        <v>23</v>
      </c>
      <c r="D1265" s="79">
        <v>3</v>
      </c>
      <c r="G1265" s="83">
        <v>38160</v>
      </c>
      <c r="H1265" s="80">
        <v>0.25</v>
      </c>
      <c r="I1265" s="78">
        <v>32</v>
      </c>
      <c r="J1265" s="79">
        <v>3</v>
      </c>
      <c r="M1265" s="83">
        <v>38160</v>
      </c>
      <c r="N1265" s="80">
        <v>0.25</v>
      </c>
      <c r="O1265" s="78">
        <v>76</v>
      </c>
      <c r="P1265" s="79">
        <v>3</v>
      </c>
    </row>
    <row r="1266" spans="1:16" ht="12.75">
      <c r="A1266" s="83">
        <v>38160</v>
      </c>
      <c r="B1266" s="80">
        <v>0.2916666666666667</v>
      </c>
      <c r="C1266" s="78">
        <v>29</v>
      </c>
      <c r="D1266" s="79">
        <v>3</v>
      </c>
      <c r="G1266" s="83">
        <v>38160</v>
      </c>
      <c r="H1266" s="80">
        <v>0.2916666666666667</v>
      </c>
      <c r="I1266" s="78">
        <v>40</v>
      </c>
      <c r="J1266" s="79">
        <v>3</v>
      </c>
      <c r="M1266" s="83">
        <v>38160</v>
      </c>
      <c r="N1266" s="80">
        <v>0.2916666666666667</v>
      </c>
      <c r="O1266" s="78">
        <v>73</v>
      </c>
      <c r="P1266" s="79">
        <v>3</v>
      </c>
    </row>
    <row r="1267" spans="1:16" ht="12.75">
      <c r="A1267" s="83">
        <v>38160</v>
      </c>
      <c r="B1267" s="80">
        <v>0.3333333333333333</v>
      </c>
      <c r="C1267" s="78">
        <v>29</v>
      </c>
      <c r="D1267" s="79">
        <v>5</v>
      </c>
      <c r="G1267" s="83">
        <v>38160</v>
      </c>
      <c r="H1267" s="80">
        <v>0.3333333333333333</v>
      </c>
      <c r="I1267" s="78">
        <v>36</v>
      </c>
      <c r="J1267" s="79">
        <v>3</v>
      </c>
      <c r="M1267" s="83">
        <v>38160</v>
      </c>
      <c r="N1267" s="80">
        <v>0.3333333333333333</v>
      </c>
      <c r="O1267" s="78">
        <v>80</v>
      </c>
      <c r="P1267" s="79">
        <v>5</v>
      </c>
    </row>
    <row r="1268" spans="1:16" ht="12.75">
      <c r="A1268" s="83">
        <v>38160</v>
      </c>
      <c r="B1268" s="80">
        <v>0.375</v>
      </c>
      <c r="C1268" s="78">
        <v>25</v>
      </c>
      <c r="D1268" s="79">
        <v>5</v>
      </c>
      <c r="G1268" s="83">
        <v>38160</v>
      </c>
      <c r="H1268" s="80">
        <v>0.375</v>
      </c>
      <c r="I1268" s="78">
        <v>42</v>
      </c>
      <c r="J1268" s="79">
        <v>3</v>
      </c>
      <c r="M1268" s="83">
        <v>38160</v>
      </c>
      <c r="N1268" s="80">
        <v>0.375</v>
      </c>
      <c r="O1268" s="78">
        <v>71</v>
      </c>
      <c r="P1268" s="79">
        <v>5</v>
      </c>
    </row>
    <row r="1269" spans="1:16" ht="12.75">
      <c r="A1269" s="83">
        <v>38160</v>
      </c>
      <c r="B1269" s="80">
        <v>0.4166666666666667</v>
      </c>
      <c r="C1269" s="78">
        <v>13</v>
      </c>
      <c r="D1269" s="79">
        <v>3</v>
      </c>
      <c r="G1269" s="83">
        <v>38160</v>
      </c>
      <c r="H1269" s="80">
        <v>0.4166666666666667</v>
      </c>
      <c r="I1269" s="78">
        <v>52</v>
      </c>
      <c r="J1269" s="79">
        <v>5</v>
      </c>
      <c r="M1269" s="83">
        <v>38160</v>
      </c>
      <c r="N1269" s="80">
        <v>0.4166666666666667</v>
      </c>
      <c r="O1269" s="78">
        <v>71</v>
      </c>
      <c r="P1269" s="79">
        <v>5</v>
      </c>
    </row>
    <row r="1270" spans="1:16" ht="12.75">
      <c r="A1270" s="83">
        <v>38160</v>
      </c>
      <c r="B1270" s="80">
        <v>0.4583333333333333</v>
      </c>
      <c r="C1270" s="78">
        <v>15</v>
      </c>
      <c r="D1270" s="79">
        <v>3</v>
      </c>
      <c r="G1270" s="83">
        <v>38160</v>
      </c>
      <c r="H1270" s="80">
        <v>0.4583333333333333</v>
      </c>
      <c r="I1270" s="78">
        <v>42</v>
      </c>
      <c r="J1270" s="79">
        <v>3</v>
      </c>
      <c r="M1270" s="83">
        <v>38160</v>
      </c>
      <c r="N1270" s="80">
        <v>0.4583333333333333</v>
      </c>
      <c r="O1270" s="78">
        <v>73</v>
      </c>
      <c r="P1270" s="79">
        <v>5</v>
      </c>
    </row>
    <row r="1271" spans="1:16" ht="12.75">
      <c r="A1271" s="83">
        <v>38160</v>
      </c>
      <c r="B1271" s="80">
        <v>0.5</v>
      </c>
      <c r="C1271" s="78">
        <v>17</v>
      </c>
      <c r="D1271" s="79">
        <v>3</v>
      </c>
      <c r="G1271" s="83">
        <v>38160</v>
      </c>
      <c r="H1271" s="80">
        <v>0.5</v>
      </c>
      <c r="I1271" s="78">
        <v>29</v>
      </c>
      <c r="J1271" s="79">
        <v>3</v>
      </c>
      <c r="M1271" s="83">
        <v>38160</v>
      </c>
      <c r="N1271" s="80">
        <v>0.5</v>
      </c>
      <c r="O1271" s="78">
        <v>76</v>
      </c>
      <c r="P1271" s="79">
        <v>3</v>
      </c>
    </row>
    <row r="1272" spans="1:16" ht="12.75">
      <c r="A1272" s="83">
        <v>38160</v>
      </c>
      <c r="B1272" s="80">
        <v>0.5416666666666666</v>
      </c>
      <c r="C1272" s="78">
        <v>15</v>
      </c>
      <c r="D1272" s="79">
        <v>3</v>
      </c>
      <c r="G1272" s="83">
        <v>38160</v>
      </c>
      <c r="H1272" s="80">
        <v>0.5416666666666666</v>
      </c>
      <c r="I1272" s="78">
        <v>29</v>
      </c>
      <c r="J1272" s="79">
        <v>16</v>
      </c>
      <c r="M1272" s="83">
        <v>38160</v>
      </c>
      <c r="N1272" s="80">
        <v>0.5416666666666666</v>
      </c>
      <c r="O1272" s="78">
        <v>78</v>
      </c>
      <c r="P1272" s="79">
        <v>3</v>
      </c>
    </row>
    <row r="1273" spans="1:16" ht="12.75">
      <c r="A1273" s="83">
        <v>38160</v>
      </c>
      <c r="B1273" s="80">
        <v>0.5833333333333334</v>
      </c>
      <c r="C1273" s="78">
        <v>15</v>
      </c>
      <c r="D1273" s="79">
        <v>3</v>
      </c>
      <c r="G1273" s="83">
        <v>38160</v>
      </c>
      <c r="H1273" s="80">
        <v>0.5833333333333334</v>
      </c>
      <c r="I1273" s="78">
        <v>31</v>
      </c>
      <c r="J1273" s="79">
        <v>45</v>
      </c>
      <c r="M1273" s="83">
        <v>38160</v>
      </c>
      <c r="N1273" s="80">
        <v>0.5833333333333334</v>
      </c>
      <c r="O1273" s="78">
        <v>82</v>
      </c>
      <c r="P1273" s="79">
        <v>3</v>
      </c>
    </row>
    <row r="1274" spans="1:16" ht="12.75">
      <c r="A1274" s="83">
        <v>38160</v>
      </c>
      <c r="B1274" s="80">
        <v>0.625</v>
      </c>
      <c r="C1274" s="78">
        <v>19</v>
      </c>
      <c r="D1274" s="79">
        <v>3</v>
      </c>
      <c r="G1274" s="83">
        <v>38160</v>
      </c>
      <c r="H1274" s="80">
        <v>0.625</v>
      </c>
      <c r="I1274" s="78">
        <v>19</v>
      </c>
      <c r="J1274" s="79">
        <v>8</v>
      </c>
      <c r="M1274" s="83">
        <v>38160</v>
      </c>
      <c r="N1274" s="80">
        <v>0.625</v>
      </c>
      <c r="O1274" s="78">
        <v>76</v>
      </c>
      <c r="P1274" s="79">
        <v>5</v>
      </c>
    </row>
    <row r="1275" spans="1:16" ht="12.75">
      <c r="A1275" s="83">
        <v>38160</v>
      </c>
      <c r="B1275" s="80">
        <v>0.6666666666666666</v>
      </c>
      <c r="C1275" s="78">
        <v>21</v>
      </c>
      <c r="D1275" s="79">
        <v>3</v>
      </c>
      <c r="G1275" s="83">
        <v>38160</v>
      </c>
      <c r="H1275" s="80">
        <v>0.6666666666666666</v>
      </c>
      <c r="I1275" s="78">
        <v>31</v>
      </c>
      <c r="J1275" s="79">
        <v>5</v>
      </c>
      <c r="M1275" s="83">
        <v>38160</v>
      </c>
      <c r="N1275" s="80">
        <v>0.6666666666666666</v>
      </c>
      <c r="O1275" s="78">
        <v>80</v>
      </c>
      <c r="P1275" s="79">
        <v>3</v>
      </c>
    </row>
    <row r="1276" spans="1:16" ht="12.75">
      <c r="A1276" s="83">
        <v>38160</v>
      </c>
      <c r="B1276" s="80">
        <v>0.7083333333333334</v>
      </c>
      <c r="C1276" s="78">
        <v>21</v>
      </c>
      <c r="D1276" s="79">
        <v>3</v>
      </c>
      <c r="G1276" s="83">
        <v>38160</v>
      </c>
      <c r="H1276" s="80">
        <v>0.7083333333333334</v>
      </c>
      <c r="I1276" s="78">
        <v>29</v>
      </c>
      <c r="J1276" s="79">
        <v>11</v>
      </c>
      <c r="M1276" s="83">
        <v>38160</v>
      </c>
      <c r="N1276" s="80">
        <v>0.7083333333333334</v>
      </c>
      <c r="O1276" s="78">
        <v>76</v>
      </c>
      <c r="P1276" s="79">
        <v>3</v>
      </c>
    </row>
    <row r="1277" spans="1:16" ht="12.75">
      <c r="A1277" s="83">
        <v>38160</v>
      </c>
      <c r="B1277" s="80">
        <v>0.75</v>
      </c>
      <c r="C1277" s="78">
        <v>15</v>
      </c>
      <c r="D1277" s="79">
        <v>3</v>
      </c>
      <c r="G1277" s="83">
        <v>38160</v>
      </c>
      <c r="H1277" s="80">
        <v>0.75</v>
      </c>
      <c r="I1277" s="78">
        <v>27</v>
      </c>
      <c r="J1277" s="79">
        <v>8</v>
      </c>
      <c r="M1277" s="83">
        <v>38160</v>
      </c>
      <c r="N1277" s="80">
        <v>0.75</v>
      </c>
      <c r="O1277" s="78">
        <v>71</v>
      </c>
      <c r="P1277" s="79">
        <v>3</v>
      </c>
    </row>
    <row r="1278" spans="1:16" ht="12.75">
      <c r="A1278" s="83">
        <v>38160</v>
      </c>
      <c r="B1278" s="80">
        <v>0.7916666666666666</v>
      </c>
      <c r="C1278" s="78">
        <v>13</v>
      </c>
      <c r="D1278" s="79">
        <v>3</v>
      </c>
      <c r="G1278" s="83">
        <v>38160</v>
      </c>
      <c r="H1278" s="80">
        <v>0.7916666666666666</v>
      </c>
      <c r="I1278" s="78">
        <v>15</v>
      </c>
      <c r="J1278" s="79">
        <v>5</v>
      </c>
      <c r="M1278" s="83">
        <v>38160</v>
      </c>
      <c r="N1278" s="80">
        <v>0.7916666666666666</v>
      </c>
      <c r="O1278" s="78">
        <v>74</v>
      </c>
      <c r="P1278" s="79">
        <v>3</v>
      </c>
    </row>
    <row r="1279" spans="1:16" ht="12.75">
      <c r="A1279" s="83">
        <v>38160</v>
      </c>
      <c r="B1279" s="80">
        <v>0.8333333333333334</v>
      </c>
      <c r="C1279" s="78">
        <v>15</v>
      </c>
      <c r="D1279" s="79">
        <v>3</v>
      </c>
      <c r="G1279" s="83">
        <v>38160</v>
      </c>
      <c r="H1279" s="80">
        <v>0.8333333333333334</v>
      </c>
      <c r="I1279" s="78">
        <v>11</v>
      </c>
      <c r="J1279" s="79">
        <v>3</v>
      </c>
      <c r="M1279" s="83">
        <v>38160</v>
      </c>
      <c r="N1279" s="80">
        <v>0.8333333333333334</v>
      </c>
      <c r="O1279" s="78">
        <v>57</v>
      </c>
      <c r="P1279" s="79">
        <v>0</v>
      </c>
    </row>
    <row r="1280" spans="1:16" ht="12.75">
      <c r="A1280" s="83">
        <v>38160</v>
      </c>
      <c r="B1280" s="80">
        <v>0.875</v>
      </c>
      <c r="C1280" s="78">
        <v>10</v>
      </c>
      <c r="D1280" s="79">
        <v>3</v>
      </c>
      <c r="G1280" s="83">
        <v>38160</v>
      </c>
      <c r="H1280" s="80">
        <v>0.875</v>
      </c>
      <c r="I1280" s="78">
        <v>21</v>
      </c>
      <c r="J1280" s="79">
        <v>8</v>
      </c>
      <c r="M1280" s="83">
        <v>38160</v>
      </c>
      <c r="N1280" s="80">
        <v>0.875</v>
      </c>
      <c r="O1280" s="78">
        <v>48</v>
      </c>
      <c r="P1280" s="79">
        <v>0</v>
      </c>
    </row>
    <row r="1281" spans="1:16" ht="12.75">
      <c r="A1281" s="83">
        <v>38160</v>
      </c>
      <c r="B1281" s="80">
        <v>0.9166666666666666</v>
      </c>
      <c r="C1281" s="78">
        <v>4</v>
      </c>
      <c r="D1281" s="79">
        <v>3</v>
      </c>
      <c r="G1281" s="83">
        <v>38160</v>
      </c>
      <c r="H1281" s="80">
        <v>0.9166666666666666</v>
      </c>
      <c r="I1281" s="78">
        <v>21</v>
      </c>
      <c r="J1281" s="79">
        <v>11</v>
      </c>
      <c r="M1281" s="83">
        <v>38160</v>
      </c>
      <c r="N1281" s="80">
        <v>0.9166666666666666</v>
      </c>
      <c r="O1281" s="78">
        <v>53</v>
      </c>
      <c r="P1281" s="79">
        <v>0</v>
      </c>
    </row>
    <row r="1282" spans="1:16" ht="12.75">
      <c r="A1282" s="83">
        <v>38160</v>
      </c>
      <c r="B1282" s="80">
        <v>0.9583333333333334</v>
      </c>
      <c r="C1282" s="78">
        <v>10</v>
      </c>
      <c r="D1282" s="79">
        <v>3</v>
      </c>
      <c r="G1282" s="83">
        <v>38160</v>
      </c>
      <c r="H1282" s="80">
        <v>0.9583333333333334</v>
      </c>
      <c r="I1282" s="78">
        <v>13</v>
      </c>
      <c r="J1282" s="79">
        <v>8</v>
      </c>
      <c r="M1282" s="83">
        <v>38160</v>
      </c>
      <c r="N1282" s="80">
        <v>0.9583333333333334</v>
      </c>
      <c r="O1282" s="78">
        <v>32</v>
      </c>
      <c r="P1282" s="79">
        <v>0</v>
      </c>
    </row>
    <row r="1283" spans="1:16" ht="12.75">
      <c r="A1283" s="83">
        <v>38160</v>
      </c>
      <c r="B1283" s="81">
        <v>1</v>
      </c>
      <c r="C1283" s="78">
        <v>19</v>
      </c>
      <c r="D1283" s="79">
        <v>8</v>
      </c>
      <c r="G1283" s="83">
        <v>38160</v>
      </c>
      <c r="H1283" s="81">
        <v>1</v>
      </c>
      <c r="I1283" s="78">
        <v>11</v>
      </c>
      <c r="J1283" s="79">
        <v>8</v>
      </c>
      <c r="M1283" s="83">
        <v>38160</v>
      </c>
      <c r="N1283" s="81">
        <v>1</v>
      </c>
      <c r="O1283" s="78">
        <v>29</v>
      </c>
      <c r="P1283" s="79">
        <v>0</v>
      </c>
    </row>
    <row r="1284" spans="1:16" s="92" customFormat="1" ht="12.75">
      <c r="A1284" s="90">
        <v>38161</v>
      </c>
      <c r="B1284" s="91">
        <v>0.041666666666666664</v>
      </c>
      <c r="C1284" s="92">
        <v>11</v>
      </c>
      <c r="D1284" s="92">
        <v>0</v>
      </c>
      <c r="G1284" s="90">
        <v>38161</v>
      </c>
      <c r="H1284" s="91">
        <v>0.041666666666666664</v>
      </c>
      <c r="I1284" s="92">
        <v>11</v>
      </c>
      <c r="J1284" s="92">
        <v>0</v>
      </c>
      <c r="M1284" s="90">
        <v>38161</v>
      </c>
      <c r="N1284" s="91">
        <v>0.041666666666666664</v>
      </c>
      <c r="O1284" s="92">
        <v>13</v>
      </c>
      <c r="P1284" s="92">
        <v>0</v>
      </c>
    </row>
    <row r="1285" spans="1:16" ht="12.75">
      <c r="A1285" s="83">
        <v>38161</v>
      </c>
      <c r="B1285" s="80">
        <v>0.08333333333333333</v>
      </c>
      <c r="C1285" s="78">
        <v>4</v>
      </c>
      <c r="D1285" s="79">
        <v>0</v>
      </c>
      <c r="G1285" s="83">
        <v>38161</v>
      </c>
      <c r="H1285" s="80">
        <v>0.08333333333333333</v>
      </c>
      <c r="I1285" s="78">
        <v>19</v>
      </c>
      <c r="J1285" s="79">
        <v>0</v>
      </c>
      <c r="M1285" s="83">
        <v>38161</v>
      </c>
      <c r="N1285" s="80">
        <v>0.08333333333333333</v>
      </c>
      <c r="O1285" s="78">
        <v>23</v>
      </c>
      <c r="P1285" s="79">
        <v>0</v>
      </c>
    </row>
    <row r="1286" spans="1:16" ht="12.75">
      <c r="A1286" s="83">
        <v>38161</v>
      </c>
      <c r="B1286" s="80">
        <v>0.125</v>
      </c>
      <c r="C1286" s="78">
        <v>4</v>
      </c>
      <c r="D1286" s="79">
        <v>0</v>
      </c>
      <c r="G1286" s="83">
        <v>38161</v>
      </c>
      <c r="H1286" s="80">
        <v>0.125</v>
      </c>
      <c r="I1286" s="78">
        <v>15</v>
      </c>
      <c r="J1286" s="79">
        <v>5</v>
      </c>
      <c r="M1286" s="83">
        <v>38161</v>
      </c>
      <c r="N1286" s="80">
        <v>0.125</v>
      </c>
      <c r="O1286" s="78">
        <v>19</v>
      </c>
      <c r="P1286" s="79">
        <v>0</v>
      </c>
    </row>
    <row r="1287" spans="1:16" ht="12.75">
      <c r="A1287" s="83">
        <v>38161</v>
      </c>
      <c r="B1287" s="80">
        <v>0.16666666666666666</v>
      </c>
      <c r="C1287" s="78">
        <v>6</v>
      </c>
      <c r="D1287" s="79">
        <v>0</v>
      </c>
      <c r="G1287" s="83">
        <v>38161</v>
      </c>
      <c r="H1287" s="80">
        <v>0.16666666666666666</v>
      </c>
      <c r="I1287" s="78">
        <v>10</v>
      </c>
      <c r="J1287" s="79">
        <v>13</v>
      </c>
      <c r="M1287" s="83">
        <v>38161</v>
      </c>
      <c r="N1287" s="80">
        <v>0.16666666666666666</v>
      </c>
      <c r="O1287" s="78">
        <v>31</v>
      </c>
      <c r="P1287" s="79">
        <v>0</v>
      </c>
    </row>
    <row r="1288" spans="1:16" ht="12.75">
      <c r="A1288" s="83">
        <v>38161</v>
      </c>
      <c r="B1288" s="80">
        <v>0.20833333333333334</v>
      </c>
      <c r="C1288" s="78">
        <v>11</v>
      </c>
      <c r="D1288" s="79">
        <v>0</v>
      </c>
      <c r="G1288" s="83">
        <v>38161</v>
      </c>
      <c r="H1288" s="80">
        <v>0.20833333333333334</v>
      </c>
      <c r="I1288" s="78">
        <v>6</v>
      </c>
      <c r="J1288" s="79">
        <v>0</v>
      </c>
      <c r="M1288" s="83">
        <v>38161</v>
      </c>
      <c r="N1288" s="80">
        <v>0.20833333333333334</v>
      </c>
      <c r="O1288" s="78">
        <v>36</v>
      </c>
      <c r="P1288" s="79">
        <v>0</v>
      </c>
    </row>
    <row r="1289" spans="1:16" ht="12.75">
      <c r="A1289" s="83">
        <v>38161</v>
      </c>
      <c r="B1289" s="80">
        <v>0.25</v>
      </c>
      <c r="C1289" s="78">
        <v>13</v>
      </c>
      <c r="D1289" s="79">
        <v>0</v>
      </c>
      <c r="G1289" s="83">
        <v>38161</v>
      </c>
      <c r="H1289" s="80">
        <v>0.25</v>
      </c>
      <c r="I1289" s="78">
        <v>4</v>
      </c>
      <c r="J1289" s="79">
        <v>0</v>
      </c>
      <c r="M1289" s="83">
        <v>38161</v>
      </c>
      <c r="N1289" s="80">
        <v>0.25</v>
      </c>
      <c r="O1289" s="78">
        <v>53</v>
      </c>
      <c r="P1289" s="79">
        <v>0</v>
      </c>
    </row>
    <row r="1290" spans="1:16" ht="12.75">
      <c r="A1290" s="83">
        <v>38161</v>
      </c>
      <c r="B1290" s="80">
        <v>0.2916666666666667</v>
      </c>
      <c r="C1290" s="78">
        <v>21</v>
      </c>
      <c r="D1290" s="79">
        <v>3</v>
      </c>
      <c r="G1290" s="83">
        <v>38161</v>
      </c>
      <c r="H1290" s="80">
        <v>0.2916666666666667</v>
      </c>
      <c r="I1290" s="78">
        <v>11</v>
      </c>
      <c r="J1290" s="79">
        <v>0</v>
      </c>
      <c r="M1290" s="83">
        <v>38161</v>
      </c>
      <c r="N1290" s="80">
        <v>0.2916666666666667</v>
      </c>
      <c r="O1290" s="78">
        <v>55</v>
      </c>
      <c r="P1290" s="79">
        <v>0</v>
      </c>
    </row>
    <row r="1291" spans="1:16" ht="12.75">
      <c r="A1291" s="83">
        <v>38161</v>
      </c>
      <c r="B1291" s="80">
        <v>0.3333333333333333</v>
      </c>
      <c r="C1291" s="78">
        <v>27</v>
      </c>
      <c r="D1291" s="79">
        <v>3</v>
      </c>
      <c r="G1291" s="83">
        <v>38161</v>
      </c>
      <c r="H1291" s="80">
        <v>0.3333333333333333</v>
      </c>
      <c r="I1291" s="78">
        <v>19</v>
      </c>
      <c r="J1291" s="79">
        <v>0</v>
      </c>
      <c r="M1291" s="83">
        <v>38161</v>
      </c>
      <c r="N1291" s="80">
        <v>0.3333333333333333</v>
      </c>
      <c r="O1291" s="78">
        <v>57</v>
      </c>
      <c r="P1291" s="79">
        <v>0</v>
      </c>
    </row>
    <row r="1292" spans="1:16" ht="12.75">
      <c r="A1292" s="83">
        <v>38161</v>
      </c>
      <c r="B1292" s="80">
        <v>0.375</v>
      </c>
      <c r="C1292" s="78">
        <v>25</v>
      </c>
      <c r="D1292" s="79">
        <v>0</v>
      </c>
      <c r="G1292" s="83">
        <v>38161</v>
      </c>
      <c r="H1292" s="80">
        <v>0.375</v>
      </c>
      <c r="I1292" s="78">
        <v>21</v>
      </c>
      <c r="J1292" s="79">
        <v>0</v>
      </c>
      <c r="M1292" s="83">
        <v>38161</v>
      </c>
      <c r="N1292" s="80">
        <v>0.375</v>
      </c>
      <c r="O1292" s="78">
        <v>53</v>
      </c>
      <c r="P1292" s="79">
        <v>0</v>
      </c>
    </row>
    <row r="1293" spans="1:16" ht="12.75">
      <c r="A1293" s="83">
        <v>38161</v>
      </c>
      <c r="B1293" s="80">
        <v>0.4166666666666667</v>
      </c>
      <c r="C1293" s="78">
        <v>17</v>
      </c>
      <c r="D1293" s="79">
        <v>0</v>
      </c>
      <c r="G1293" s="83">
        <v>38161</v>
      </c>
      <c r="H1293" s="80">
        <v>0.4166666666666667</v>
      </c>
      <c r="I1293" s="78">
        <v>17</v>
      </c>
      <c r="J1293" s="79">
        <v>0</v>
      </c>
      <c r="M1293" s="83">
        <v>38161</v>
      </c>
      <c r="N1293" s="80">
        <v>0.4166666666666667</v>
      </c>
      <c r="O1293" s="78">
        <v>50</v>
      </c>
      <c r="P1293" s="79">
        <v>0</v>
      </c>
    </row>
    <row r="1294" spans="1:16" ht="12.75">
      <c r="A1294" s="83">
        <v>38161</v>
      </c>
      <c r="B1294" s="80">
        <v>0.4583333333333333</v>
      </c>
      <c r="C1294" s="78">
        <v>17</v>
      </c>
      <c r="D1294" s="79">
        <v>0</v>
      </c>
      <c r="G1294" s="83">
        <v>38161</v>
      </c>
      <c r="H1294" s="80">
        <v>0.4583333333333333</v>
      </c>
      <c r="I1294" s="78">
        <v>17</v>
      </c>
      <c r="J1294" s="79">
        <v>0</v>
      </c>
      <c r="M1294" s="83">
        <v>38161</v>
      </c>
      <c r="N1294" s="80">
        <v>0.4583333333333333</v>
      </c>
      <c r="O1294" s="78">
        <v>48</v>
      </c>
      <c r="P1294" s="79">
        <v>0</v>
      </c>
    </row>
    <row r="1295" spans="1:16" ht="12.75">
      <c r="A1295" s="83">
        <v>38161</v>
      </c>
      <c r="B1295" s="80">
        <v>0.5</v>
      </c>
      <c r="G1295" s="83">
        <v>38161</v>
      </c>
      <c r="H1295" s="80">
        <v>0.5</v>
      </c>
      <c r="I1295" s="78">
        <v>17</v>
      </c>
      <c r="J1295" s="79">
        <v>0</v>
      </c>
      <c r="M1295" s="83">
        <v>38161</v>
      </c>
      <c r="N1295" s="80">
        <v>0.5</v>
      </c>
      <c r="O1295" s="78">
        <v>42</v>
      </c>
      <c r="P1295" s="79">
        <v>0</v>
      </c>
    </row>
    <row r="1296" spans="1:16" ht="12.75">
      <c r="A1296" s="83">
        <v>38161</v>
      </c>
      <c r="B1296" s="80">
        <v>0.5416666666666666</v>
      </c>
      <c r="D1296" s="79">
        <v>0</v>
      </c>
      <c r="G1296" s="83">
        <v>38161</v>
      </c>
      <c r="H1296" s="80">
        <v>0.5416666666666666</v>
      </c>
      <c r="I1296" s="78">
        <v>17</v>
      </c>
      <c r="J1296" s="79">
        <v>0</v>
      </c>
      <c r="M1296" s="83">
        <v>38161</v>
      </c>
      <c r="N1296" s="80">
        <v>0.5416666666666666</v>
      </c>
      <c r="O1296" s="78">
        <v>38</v>
      </c>
      <c r="P1296" s="79">
        <v>0</v>
      </c>
    </row>
    <row r="1297" spans="1:16" ht="12.75">
      <c r="A1297" s="83">
        <v>38161</v>
      </c>
      <c r="B1297" s="80">
        <v>0.5833333333333334</v>
      </c>
      <c r="C1297" s="78">
        <v>23</v>
      </c>
      <c r="D1297" s="79">
        <v>0</v>
      </c>
      <c r="G1297" s="83">
        <v>38161</v>
      </c>
      <c r="H1297" s="80">
        <v>0.5833333333333334</v>
      </c>
      <c r="I1297" s="78">
        <v>15</v>
      </c>
      <c r="J1297" s="79">
        <v>0</v>
      </c>
      <c r="M1297" s="83">
        <v>38161</v>
      </c>
      <c r="N1297" s="80">
        <v>0.5833333333333334</v>
      </c>
      <c r="O1297" s="78">
        <v>36</v>
      </c>
      <c r="P1297" s="79">
        <v>0</v>
      </c>
    </row>
    <row r="1298" spans="1:16" ht="12.75">
      <c r="A1298" s="83">
        <v>38161</v>
      </c>
      <c r="B1298" s="80">
        <v>0.625</v>
      </c>
      <c r="C1298" s="78">
        <v>23</v>
      </c>
      <c r="D1298" s="79">
        <v>0</v>
      </c>
      <c r="G1298" s="83">
        <v>38161</v>
      </c>
      <c r="H1298" s="80">
        <v>0.625</v>
      </c>
      <c r="I1298" s="78">
        <v>17</v>
      </c>
      <c r="J1298" s="79">
        <v>0</v>
      </c>
      <c r="M1298" s="83">
        <v>38161</v>
      </c>
      <c r="N1298" s="80">
        <v>0.625</v>
      </c>
      <c r="O1298" s="78">
        <v>40</v>
      </c>
      <c r="P1298" s="79">
        <v>0</v>
      </c>
    </row>
    <row r="1299" spans="1:16" ht="12.75">
      <c r="A1299" s="83">
        <v>38161</v>
      </c>
      <c r="B1299" s="80">
        <v>0.6666666666666666</v>
      </c>
      <c r="C1299" s="78">
        <v>23</v>
      </c>
      <c r="D1299" s="79">
        <v>0</v>
      </c>
      <c r="G1299" s="83">
        <v>38161</v>
      </c>
      <c r="H1299" s="80">
        <v>0.6666666666666666</v>
      </c>
      <c r="I1299" s="78">
        <v>17</v>
      </c>
      <c r="J1299" s="79">
        <v>0</v>
      </c>
      <c r="M1299" s="83">
        <v>38161</v>
      </c>
      <c r="N1299" s="80">
        <v>0.6666666666666666</v>
      </c>
      <c r="O1299" s="78">
        <v>38</v>
      </c>
      <c r="P1299" s="79">
        <v>0</v>
      </c>
    </row>
    <row r="1300" spans="1:16" ht="12.75">
      <c r="A1300" s="83">
        <v>38161</v>
      </c>
      <c r="B1300" s="80">
        <v>0.7083333333333334</v>
      </c>
      <c r="C1300" s="78">
        <v>21</v>
      </c>
      <c r="D1300" s="79">
        <v>0</v>
      </c>
      <c r="G1300" s="83">
        <v>38161</v>
      </c>
      <c r="H1300" s="80">
        <v>0.7083333333333334</v>
      </c>
      <c r="I1300" s="78">
        <v>17</v>
      </c>
      <c r="J1300" s="79">
        <v>0</v>
      </c>
      <c r="M1300" s="83">
        <v>38161</v>
      </c>
      <c r="N1300" s="80">
        <v>0.7083333333333334</v>
      </c>
      <c r="O1300" s="78">
        <v>36</v>
      </c>
      <c r="P1300" s="79">
        <v>0</v>
      </c>
    </row>
    <row r="1301" spans="1:16" ht="12.75">
      <c r="A1301" s="83">
        <v>38161</v>
      </c>
      <c r="B1301" s="80">
        <v>0.75</v>
      </c>
      <c r="C1301" s="78">
        <v>11</v>
      </c>
      <c r="D1301" s="79">
        <v>0</v>
      </c>
      <c r="G1301" s="83">
        <v>38161</v>
      </c>
      <c r="H1301" s="80">
        <v>0.75</v>
      </c>
      <c r="I1301" s="78">
        <v>32</v>
      </c>
      <c r="J1301" s="79">
        <v>0</v>
      </c>
      <c r="M1301" s="83">
        <v>38161</v>
      </c>
      <c r="N1301" s="80">
        <v>0.75</v>
      </c>
      <c r="O1301" s="78">
        <v>31</v>
      </c>
      <c r="P1301" s="79">
        <v>0</v>
      </c>
    </row>
    <row r="1302" spans="1:16" ht="12.75">
      <c r="A1302" s="83">
        <v>38161</v>
      </c>
      <c r="B1302" s="80">
        <v>0.7916666666666666</v>
      </c>
      <c r="C1302" s="78">
        <v>10</v>
      </c>
      <c r="D1302" s="79">
        <v>0</v>
      </c>
      <c r="G1302" s="83">
        <v>38161</v>
      </c>
      <c r="H1302" s="80">
        <v>0.7916666666666666</v>
      </c>
      <c r="I1302" s="78">
        <v>21</v>
      </c>
      <c r="J1302" s="79">
        <v>0</v>
      </c>
      <c r="M1302" s="83">
        <v>38161</v>
      </c>
      <c r="N1302" s="80">
        <v>0.7916666666666666</v>
      </c>
      <c r="O1302" s="78">
        <v>36</v>
      </c>
      <c r="P1302" s="79">
        <v>0</v>
      </c>
    </row>
    <row r="1303" spans="1:16" ht="12.75">
      <c r="A1303" s="83">
        <v>38161</v>
      </c>
      <c r="B1303" s="80">
        <v>0.8333333333333334</v>
      </c>
      <c r="C1303" s="78">
        <v>11</v>
      </c>
      <c r="D1303" s="79">
        <v>0</v>
      </c>
      <c r="G1303" s="83">
        <v>38161</v>
      </c>
      <c r="H1303" s="80">
        <v>0.8333333333333334</v>
      </c>
      <c r="I1303" s="78">
        <v>19</v>
      </c>
      <c r="J1303" s="79">
        <v>0</v>
      </c>
      <c r="M1303" s="83">
        <v>38161</v>
      </c>
      <c r="N1303" s="80">
        <v>0.8333333333333334</v>
      </c>
      <c r="O1303" s="78">
        <v>34</v>
      </c>
      <c r="P1303" s="79">
        <v>0</v>
      </c>
    </row>
    <row r="1304" spans="1:16" ht="12.75">
      <c r="A1304" s="83">
        <v>38161</v>
      </c>
      <c r="B1304" s="80">
        <v>0.875</v>
      </c>
      <c r="C1304" s="78">
        <v>13</v>
      </c>
      <c r="D1304" s="79">
        <v>0</v>
      </c>
      <c r="G1304" s="83">
        <v>38161</v>
      </c>
      <c r="H1304" s="80">
        <v>0.875</v>
      </c>
      <c r="I1304" s="78">
        <v>17</v>
      </c>
      <c r="J1304" s="79">
        <v>0</v>
      </c>
      <c r="M1304" s="83">
        <v>38161</v>
      </c>
      <c r="N1304" s="80">
        <v>0.875</v>
      </c>
      <c r="O1304" s="78">
        <v>29</v>
      </c>
      <c r="P1304" s="79">
        <v>0</v>
      </c>
    </row>
    <row r="1305" spans="1:16" ht="12.75">
      <c r="A1305" s="83">
        <v>38161</v>
      </c>
      <c r="B1305" s="80">
        <v>0.9166666666666666</v>
      </c>
      <c r="C1305" s="78">
        <v>8</v>
      </c>
      <c r="D1305" s="79">
        <v>0</v>
      </c>
      <c r="G1305" s="83">
        <v>38161</v>
      </c>
      <c r="H1305" s="80">
        <v>0.9166666666666666</v>
      </c>
      <c r="I1305" s="78">
        <v>19</v>
      </c>
      <c r="J1305" s="79">
        <v>0</v>
      </c>
      <c r="M1305" s="83">
        <v>38161</v>
      </c>
      <c r="N1305" s="80">
        <v>0.9166666666666666</v>
      </c>
      <c r="O1305" s="78">
        <v>23</v>
      </c>
      <c r="P1305" s="79">
        <v>0</v>
      </c>
    </row>
    <row r="1306" spans="1:16" ht="12.75">
      <c r="A1306" s="83">
        <v>38161</v>
      </c>
      <c r="B1306" s="80">
        <v>0.9583333333333334</v>
      </c>
      <c r="C1306" s="78">
        <v>17</v>
      </c>
      <c r="D1306" s="79">
        <v>0</v>
      </c>
      <c r="G1306" s="83">
        <v>38161</v>
      </c>
      <c r="H1306" s="80">
        <v>0.9583333333333334</v>
      </c>
      <c r="I1306" s="78">
        <v>21</v>
      </c>
      <c r="J1306" s="79">
        <v>0</v>
      </c>
      <c r="M1306" s="83">
        <v>38161</v>
      </c>
      <c r="N1306" s="80">
        <v>0.9583333333333334</v>
      </c>
      <c r="O1306" s="78">
        <v>19</v>
      </c>
      <c r="P1306" s="79">
        <v>0</v>
      </c>
    </row>
    <row r="1307" spans="1:16" ht="12.75">
      <c r="A1307" s="83">
        <v>38161</v>
      </c>
      <c r="B1307" s="81">
        <v>1</v>
      </c>
      <c r="C1307" s="78">
        <v>10</v>
      </c>
      <c r="D1307" s="79">
        <v>0</v>
      </c>
      <c r="G1307" s="83">
        <v>38161</v>
      </c>
      <c r="H1307" s="81">
        <v>1</v>
      </c>
      <c r="I1307" s="78">
        <v>10</v>
      </c>
      <c r="J1307" s="79">
        <v>0</v>
      </c>
      <c r="M1307" s="83">
        <v>38161</v>
      </c>
      <c r="N1307" s="81">
        <v>1</v>
      </c>
      <c r="O1307" s="78">
        <v>19</v>
      </c>
      <c r="P1307" s="79">
        <v>0</v>
      </c>
    </row>
    <row r="1308" spans="1:16" s="92" customFormat="1" ht="12.75">
      <c r="A1308" s="90">
        <v>38162</v>
      </c>
      <c r="B1308" s="91">
        <v>0.041666666666666664</v>
      </c>
      <c r="C1308" s="92">
        <v>10</v>
      </c>
      <c r="D1308" s="92">
        <v>3</v>
      </c>
      <c r="G1308" s="90">
        <v>38162</v>
      </c>
      <c r="H1308" s="91">
        <v>0.041666666666666664</v>
      </c>
      <c r="I1308" s="92">
        <v>11</v>
      </c>
      <c r="J1308" s="92">
        <v>3</v>
      </c>
      <c r="M1308" s="90">
        <v>38162</v>
      </c>
      <c r="N1308" s="91">
        <v>0.041666666666666664</v>
      </c>
      <c r="O1308" s="92">
        <v>15</v>
      </c>
      <c r="P1308" s="92">
        <v>0</v>
      </c>
    </row>
    <row r="1309" spans="1:16" ht="12.75">
      <c r="A1309" s="83">
        <v>38162</v>
      </c>
      <c r="B1309" s="80">
        <v>0.08333333333333333</v>
      </c>
      <c r="C1309" s="78">
        <v>10</v>
      </c>
      <c r="D1309" s="79">
        <v>3</v>
      </c>
      <c r="G1309" s="83">
        <v>38162</v>
      </c>
      <c r="H1309" s="80">
        <v>0.08333333333333333</v>
      </c>
      <c r="I1309" s="78">
        <v>6</v>
      </c>
      <c r="J1309" s="79">
        <v>3</v>
      </c>
      <c r="M1309" s="83">
        <v>38162</v>
      </c>
      <c r="N1309" s="80">
        <v>0.08333333333333333</v>
      </c>
      <c r="O1309" s="78">
        <v>19</v>
      </c>
      <c r="P1309" s="79">
        <v>0</v>
      </c>
    </row>
    <row r="1310" spans="1:16" ht="12.75">
      <c r="A1310" s="83">
        <v>38162</v>
      </c>
      <c r="B1310" s="80">
        <v>0.125</v>
      </c>
      <c r="C1310" s="78">
        <v>8</v>
      </c>
      <c r="D1310" s="79">
        <v>3</v>
      </c>
      <c r="G1310" s="83">
        <v>38162</v>
      </c>
      <c r="H1310" s="80">
        <v>0.125</v>
      </c>
      <c r="I1310" s="78">
        <v>4</v>
      </c>
      <c r="J1310" s="79">
        <v>3</v>
      </c>
      <c r="M1310" s="83">
        <v>38162</v>
      </c>
      <c r="N1310" s="80">
        <v>0.125</v>
      </c>
      <c r="O1310" s="78">
        <v>17</v>
      </c>
      <c r="P1310" s="79">
        <v>0</v>
      </c>
    </row>
    <row r="1311" spans="1:16" ht="12.75">
      <c r="A1311" s="83">
        <v>38162</v>
      </c>
      <c r="B1311" s="80">
        <v>0.16666666666666666</v>
      </c>
      <c r="C1311" s="78">
        <v>10</v>
      </c>
      <c r="D1311" s="79">
        <v>3</v>
      </c>
      <c r="G1311" s="83">
        <v>38162</v>
      </c>
      <c r="H1311" s="80">
        <v>0.16666666666666666</v>
      </c>
      <c r="I1311" s="78">
        <v>8</v>
      </c>
      <c r="J1311" s="79">
        <v>3</v>
      </c>
      <c r="M1311" s="83">
        <v>38162</v>
      </c>
      <c r="N1311" s="80">
        <v>0.16666666666666666</v>
      </c>
      <c r="O1311" s="78">
        <v>27</v>
      </c>
      <c r="P1311" s="79">
        <v>0</v>
      </c>
    </row>
    <row r="1312" spans="1:16" ht="12.75">
      <c r="A1312" s="83">
        <v>38162</v>
      </c>
      <c r="B1312" s="80">
        <v>0.20833333333333334</v>
      </c>
      <c r="C1312" s="78">
        <v>13</v>
      </c>
      <c r="D1312" s="79">
        <v>3</v>
      </c>
      <c r="G1312" s="83">
        <v>38162</v>
      </c>
      <c r="H1312" s="80">
        <v>0.20833333333333334</v>
      </c>
      <c r="I1312" s="78">
        <v>21</v>
      </c>
      <c r="J1312" s="79">
        <v>5</v>
      </c>
      <c r="M1312" s="83">
        <v>38162</v>
      </c>
      <c r="N1312" s="80">
        <v>0.20833333333333334</v>
      </c>
      <c r="O1312" s="78">
        <v>40</v>
      </c>
      <c r="P1312" s="79">
        <v>0</v>
      </c>
    </row>
    <row r="1313" spans="1:16" ht="12.75">
      <c r="A1313" s="83">
        <v>38162</v>
      </c>
      <c r="B1313" s="80">
        <v>0.25</v>
      </c>
      <c r="C1313" s="78">
        <v>13</v>
      </c>
      <c r="D1313" s="79">
        <v>3</v>
      </c>
      <c r="G1313" s="83">
        <v>38162</v>
      </c>
      <c r="H1313" s="80">
        <v>0.25</v>
      </c>
      <c r="I1313" s="78">
        <v>42</v>
      </c>
      <c r="J1313" s="79">
        <v>8</v>
      </c>
      <c r="M1313" s="83">
        <v>38162</v>
      </c>
      <c r="N1313" s="80">
        <v>0.25</v>
      </c>
      <c r="O1313" s="78">
        <v>55</v>
      </c>
      <c r="P1313" s="79">
        <v>0</v>
      </c>
    </row>
    <row r="1314" spans="1:16" ht="12.75">
      <c r="A1314" s="83">
        <v>38162</v>
      </c>
      <c r="B1314" s="80">
        <v>0.2916666666666667</v>
      </c>
      <c r="C1314" s="78">
        <v>13</v>
      </c>
      <c r="D1314" s="79">
        <v>3</v>
      </c>
      <c r="G1314" s="83">
        <v>38162</v>
      </c>
      <c r="H1314" s="80">
        <v>0.2916666666666667</v>
      </c>
      <c r="I1314" s="78">
        <v>65</v>
      </c>
      <c r="J1314" s="79">
        <v>8</v>
      </c>
      <c r="M1314" s="83">
        <v>38162</v>
      </c>
      <c r="N1314" s="80">
        <v>0.2916666666666667</v>
      </c>
      <c r="O1314" s="78">
        <v>50</v>
      </c>
      <c r="P1314" s="79">
        <v>3</v>
      </c>
    </row>
    <row r="1315" spans="1:16" ht="12.75">
      <c r="A1315" s="83">
        <v>38162</v>
      </c>
      <c r="B1315" s="80">
        <v>0.3333333333333333</v>
      </c>
      <c r="C1315" s="78">
        <v>29</v>
      </c>
      <c r="D1315" s="79">
        <v>3</v>
      </c>
      <c r="G1315" s="83">
        <v>38162</v>
      </c>
      <c r="H1315" s="80">
        <v>0.3333333333333333</v>
      </c>
      <c r="I1315" s="78">
        <v>50</v>
      </c>
      <c r="J1315" s="79">
        <v>3</v>
      </c>
      <c r="M1315" s="83">
        <v>38162</v>
      </c>
      <c r="N1315" s="80">
        <v>0.3333333333333333</v>
      </c>
      <c r="O1315" s="78">
        <v>46</v>
      </c>
      <c r="P1315" s="79">
        <v>3</v>
      </c>
    </row>
    <row r="1316" spans="1:16" ht="12.75">
      <c r="A1316" s="83">
        <v>38162</v>
      </c>
      <c r="B1316" s="80">
        <v>0.375</v>
      </c>
      <c r="C1316" s="78">
        <v>27</v>
      </c>
      <c r="D1316" s="79">
        <v>3</v>
      </c>
      <c r="G1316" s="83">
        <v>38162</v>
      </c>
      <c r="H1316" s="80">
        <v>0.375</v>
      </c>
      <c r="I1316" s="78">
        <v>61</v>
      </c>
      <c r="J1316" s="79">
        <v>5</v>
      </c>
      <c r="M1316" s="83">
        <v>38162</v>
      </c>
      <c r="N1316" s="80">
        <v>0.375</v>
      </c>
      <c r="O1316" s="78">
        <v>34</v>
      </c>
      <c r="P1316" s="79">
        <v>0</v>
      </c>
    </row>
    <row r="1317" spans="1:16" ht="12.75">
      <c r="A1317" s="83">
        <v>38162</v>
      </c>
      <c r="B1317" s="80">
        <v>0.4166666666666667</v>
      </c>
      <c r="C1317" s="78">
        <v>19</v>
      </c>
      <c r="D1317" s="79">
        <v>3</v>
      </c>
      <c r="G1317" s="83">
        <v>38162</v>
      </c>
      <c r="H1317" s="80">
        <v>0.4166666666666667</v>
      </c>
      <c r="M1317" s="83">
        <v>38162</v>
      </c>
      <c r="N1317" s="80">
        <v>0.4166666666666667</v>
      </c>
      <c r="O1317" s="78">
        <v>29</v>
      </c>
      <c r="P1317" s="79">
        <v>0</v>
      </c>
    </row>
    <row r="1318" spans="1:16" ht="12.75">
      <c r="A1318" s="83">
        <v>38162</v>
      </c>
      <c r="B1318" s="80">
        <v>0.4583333333333333</v>
      </c>
      <c r="C1318" s="78">
        <v>19</v>
      </c>
      <c r="D1318" s="79">
        <v>3</v>
      </c>
      <c r="G1318" s="83">
        <v>38162</v>
      </c>
      <c r="H1318" s="80">
        <v>0.4583333333333333</v>
      </c>
      <c r="M1318" s="83">
        <v>38162</v>
      </c>
      <c r="N1318" s="80">
        <v>0.4583333333333333</v>
      </c>
      <c r="O1318" s="78">
        <v>27</v>
      </c>
      <c r="P1318" s="79">
        <v>0</v>
      </c>
    </row>
    <row r="1319" spans="1:16" ht="12.75">
      <c r="A1319" s="83">
        <v>38162</v>
      </c>
      <c r="B1319" s="80">
        <v>0.5</v>
      </c>
      <c r="C1319" s="78">
        <v>19</v>
      </c>
      <c r="D1319" s="79">
        <v>3</v>
      </c>
      <c r="G1319" s="83">
        <v>38162</v>
      </c>
      <c r="H1319" s="80">
        <v>0.5</v>
      </c>
      <c r="I1319" s="78">
        <v>71</v>
      </c>
      <c r="J1319" s="79">
        <v>11</v>
      </c>
      <c r="M1319" s="83">
        <v>38162</v>
      </c>
      <c r="N1319" s="80">
        <v>0.5</v>
      </c>
      <c r="O1319" s="78">
        <v>19</v>
      </c>
      <c r="P1319" s="79">
        <v>0</v>
      </c>
    </row>
    <row r="1320" spans="1:16" ht="12.75">
      <c r="A1320" s="83">
        <v>38162</v>
      </c>
      <c r="B1320" s="80">
        <v>0.5416666666666666</v>
      </c>
      <c r="C1320" s="78">
        <v>17</v>
      </c>
      <c r="D1320" s="79">
        <v>3</v>
      </c>
      <c r="G1320" s="83">
        <v>38162</v>
      </c>
      <c r="H1320" s="80">
        <v>0.5416666666666666</v>
      </c>
      <c r="I1320" s="78">
        <v>80</v>
      </c>
      <c r="J1320" s="79">
        <v>13</v>
      </c>
      <c r="M1320" s="83">
        <v>38162</v>
      </c>
      <c r="N1320" s="80">
        <v>0.5416666666666666</v>
      </c>
      <c r="O1320" s="78">
        <v>29</v>
      </c>
      <c r="P1320" s="79">
        <v>0</v>
      </c>
    </row>
    <row r="1321" spans="1:16" ht="12.75">
      <c r="A1321" s="83">
        <v>38162</v>
      </c>
      <c r="B1321" s="80">
        <v>0.5833333333333334</v>
      </c>
      <c r="C1321" s="78">
        <v>17</v>
      </c>
      <c r="D1321" s="79">
        <v>3</v>
      </c>
      <c r="G1321" s="83">
        <v>38162</v>
      </c>
      <c r="H1321" s="80">
        <v>0.5833333333333334</v>
      </c>
      <c r="I1321" s="78">
        <v>57</v>
      </c>
      <c r="J1321" s="79">
        <v>8</v>
      </c>
      <c r="M1321" s="83">
        <v>38162</v>
      </c>
      <c r="N1321" s="80">
        <v>0.5833333333333334</v>
      </c>
      <c r="O1321" s="78">
        <v>29</v>
      </c>
      <c r="P1321" s="79">
        <v>0</v>
      </c>
    </row>
    <row r="1322" spans="1:16" ht="12.75">
      <c r="A1322" s="83">
        <v>38162</v>
      </c>
      <c r="B1322" s="80">
        <v>0.625</v>
      </c>
      <c r="C1322" s="78">
        <v>17</v>
      </c>
      <c r="D1322" s="79">
        <v>3</v>
      </c>
      <c r="G1322" s="83">
        <v>38162</v>
      </c>
      <c r="H1322" s="80">
        <v>0.625</v>
      </c>
      <c r="I1322" s="78">
        <v>36</v>
      </c>
      <c r="J1322" s="79">
        <v>11</v>
      </c>
      <c r="M1322" s="83">
        <v>38162</v>
      </c>
      <c r="N1322" s="80">
        <v>0.625</v>
      </c>
      <c r="O1322" s="78">
        <v>31</v>
      </c>
      <c r="P1322" s="79">
        <v>3</v>
      </c>
    </row>
    <row r="1323" spans="1:16" ht="12.75">
      <c r="A1323" s="83">
        <v>38162</v>
      </c>
      <c r="B1323" s="80">
        <v>0.6666666666666666</v>
      </c>
      <c r="C1323" s="78">
        <v>19</v>
      </c>
      <c r="D1323" s="79">
        <v>3</v>
      </c>
      <c r="G1323" s="83">
        <v>38162</v>
      </c>
      <c r="H1323" s="80">
        <v>0.6666666666666666</v>
      </c>
      <c r="I1323" s="78">
        <v>48</v>
      </c>
      <c r="J1323" s="79">
        <v>13</v>
      </c>
      <c r="M1323" s="83">
        <v>38162</v>
      </c>
      <c r="N1323" s="80">
        <v>0.6666666666666666</v>
      </c>
      <c r="O1323" s="78">
        <v>23</v>
      </c>
      <c r="P1323" s="79">
        <v>0</v>
      </c>
    </row>
    <row r="1324" spans="1:16" ht="12.75">
      <c r="A1324" s="83">
        <v>38162</v>
      </c>
      <c r="B1324" s="80">
        <v>0.7083333333333334</v>
      </c>
      <c r="C1324" s="78">
        <v>17</v>
      </c>
      <c r="D1324" s="79">
        <v>3</v>
      </c>
      <c r="G1324" s="83">
        <v>38162</v>
      </c>
      <c r="H1324" s="80">
        <v>0.7083333333333334</v>
      </c>
      <c r="I1324" s="78">
        <v>31</v>
      </c>
      <c r="J1324" s="79">
        <v>5</v>
      </c>
      <c r="M1324" s="83">
        <v>38162</v>
      </c>
      <c r="N1324" s="80">
        <v>0.7083333333333334</v>
      </c>
      <c r="O1324" s="78">
        <v>27</v>
      </c>
      <c r="P1324" s="79">
        <v>3</v>
      </c>
    </row>
    <row r="1325" spans="1:16" ht="12.75">
      <c r="A1325" s="83">
        <v>38162</v>
      </c>
      <c r="B1325" s="80">
        <v>0.75</v>
      </c>
      <c r="C1325" s="78">
        <v>15</v>
      </c>
      <c r="D1325" s="79">
        <v>3</v>
      </c>
      <c r="G1325" s="83">
        <v>38162</v>
      </c>
      <c r="H1325" s="80">
        <v>0.75</v>
      </c>
      <c r="I1325" s="78">
        <v>23</v>
      </c>
      <c r="J1325" s="79">
        <v>3</v>
      </c>
      <c r="M1325" s="83">
        <v>38162</v>
      </c>
      <c r="N1325" s="80">
        <v>0.75</v>
      </c>
      <c r="O1325" s="78">
        <v>34</v>
      </c>
      <c r="P1325" s="79">
        <v>3</v>
      </c>
    </row>
    <row r="1326" spans="1:16" ht="12.75">
      <c r="A1326" s="83">
        <v>38162</v>
      </c>
      <c r="B1326" s="80">
        <v>0.7916666666666666</v>
      </c>
      <c r="C1326" s="78">
        <v>13</v>
      </c>
      <c r="D1326" s="79">
        <v>3</v>
      </c>
      <c r="G1326" s="83">
        <v>38162</v>
      </c>
      <c r="H1326" s="80">
        <v>0.7916666666666666</v>
      </c>
      <c r="I1326" s="78">
        <v>27</v>
      </c>
      <c r="J1326" s="79">
        <v>5</v>
      </c>
      <c r="M1326" s="83">
        <v>38162</v>
      </c>
      <c r="N1326" s="80">
        <v>0.7916666666666666</v>
      </c>
      <c r="O1326" s="78">
        <v>36</v>
      </c>
      <c r="P1326" s="79">
        <v>3</v>
      </c>
    </row>
    <row r="1327" spans="1:16" ht="12.75">
      <c r="A1327" s="83">
        <v>38162</v>
      </c>
      <c r="B1327" s="80">
        <v>0.8333333333333334</v>
      </c>
      <c r="C1327" s="78">
        <v>15</v>
      </c>
      <c r="D1327" s="79">
        <v>3</v>
      </c>
      <c r="G1327" s="83">
        <v>38162</v>
      </c>
      <c r="H1327" s="80">
        <v>0.8333333333333334</v>
      </c>
      <c r="I1327" s="78">
        <v>27</v>
      </c>
      <c r="J1327" s="79">
        <v>5</v>
      </c>
      <c r="M1327" s="83">
        <v>38162</v>
      </c>
      <c r="N1327" s="80">
        <v>0.8333333333333334</v>
      </c>
      <c r="O1327" s="78">
        <v>13</v>
      </c>
      <c r="P1327" s="79">
        <v>0</v>
      </c>
    </row>
    <row r="1328" spans="1:16" ht="12.75">
      <c r="A1328" s="83">
        <v>38162</v>
      </c>
      <c r="B1328" s="80">
        <v>0.875</v>
      </c>
      <c r="C1328" s="78">
        <v>17</v>
      </c>
      <c r="D1328" s="79">
        <v>3</v>
      </c>
      <c r="G1328" s="83">
        <v>38162</v>
      </c>
      <c r="H1328" s="80">
        <v>0.875</v>
      </c>
      <c r="I1328" s="78">
        <v>25</v>
      </c>
      <c r="J1328" s="79">
        <v>11</v>
      </c>
      <c r="M1328" s="83">
        <v>38162</v>
      </c>
      <c r="N1328" s="80">
        <v>0.875</v>
      </c>
      <c r="O1328" s="78">
        <v>23</v>
      </c>
      <c r="P1328" s="79">
        <v>0</v>
      </c>
    </row>
    <row r="1329" spans="1:16" ht="12.75">
      <c r="A1329" s="83">
        <v>38162</v>
      </c>
      <c r="B1329" s="80">
        <v>0.9166666666666666</v>
      </c>
      <c r="C1329" s="78">
        <v>21</v>
      </c>
      <c r="D1329" s="79">
        <v>3</v>
      </c>
      <c r="G1329" s="83">
        <v>38162</v>
      </c>
      <c r="H1329" s="80">
        <v>0.9166666666666666</v>
      </c>
      <c r="I1329" s="78">
        <v>29</v>
      </c>
      <c r="J1329" s="79">
        <v>3</v>
      </c>
      <c r="M1329" s="83">
        <v>38162</v>
      </c>
      <c r="N1329" s="80">
        <v>0.9166666666666666</v>
      </c>
      <c r="O1329" s="78">
        <v>29</v>
      </c>
      <c r="P1329" s="79">
        <v>0</v>
      </c>
    </row>
    <row r="1330" spans="1:16" ht="12.75">
      <c r="A1330" s="83">
        <v>38162</v>
      </c>
      <c r="B1330" s="80">
        <v>0.9583333333333334</v>
      </c>
      <c r="C1330" s="78">
        <v>34</v>
      </c>
      <c r="D1330" s="79">
        <v>3</v>
      </c>
      <c r="G1330" s="83">
        <v>38162</v>
      </c>
      <c r="H1330" s="80">
        <v>0.9583333333333334</v>
      </c>
      <c r="I1330" s="78">
        <v>25</v>
      </c>
      <c r="J1330" s="79">
        <v>3</v>
      </c>
      <c r="M1330" s="83">
        <v>38162</v>
      </c>
      <c r="N1330" s="80">
        <v>0.9583333333333334</v>
      </c>
      <c r="O1330" s="78">
        <v>29</v>
      </c>
      <c r="P1330" s="79">
        <v>0</v>
      </c>
    </row>
    <row r="1331" spans="1:16" ht="12.75">
      <c r="A1331" s="83">
        <v>38162</v>
      </c>
      <c r="B1331" s="81">
        <v>1</v>
      </c>
      <c r="C1331" s="78">
        <v>25</v>
      </c>
      <c r="D1331" s="79">
        <v>3</v>
      </c>
      <c r="G1331" s="83">
        <v>38162</v>
      </c>
      <c r="H1331" s="81">
        <v>1</v>
      </c>
      <c r="I1331" s="78">
        <v>11</v>
      </c>
      <c r="J1331" s="79">
        <v>3</v>
      </c>
      <c r="M1331" s="83">
        <v>38162</v>
      </c>
      <c r="N1331" s="81">
        <v>1</v>
      </c>
      <c r="O1331" s="78">
        <v>40</v>
      </c>
      <c r="P1331" s="79">
        <v>0</v>
      </c>
    </row>
    <row r="1332" spans="1:16" s="92" customFormat="1" ht="12.75">
      <c r="A1332" s="90">
        <v>38163</v>
      </c>
      <c r="B1332" s="91">
        <v>0.041666666666666664</v>
      </c>
      <c r="C1332" s="92">
        <v>25</v>
      </c>
      <c r="D1332" s="92">
        <v>3</v>
      </c>
      <c r="G1332" s="90">
        <v>38163</v>
      </c>
      <c r="H1332" s="91">
        <v>0.041666666666666664</v>
      </c>
      <c r="I1332" s="92">
        <v>4</v>
      </c>
      <c r="J1332" s="92">
        <v>0</v>
      </c>
      <c r="M1332" s="90">
        <v>38163</v>
      </c>
      <c r="N1332" s="91">
        <v>0.041666666666666664</v>
      </c>
      <c r="O1332" s="92">
        <v>46</v>
      </c>
      <c r="P1332" s="92">
        <v>0</v>
      </c>
    </row>
    <row r="1333" spans="1:16" ht="12.75">
      <c r="A1333" s="83">
        <v>38163</v>
      </c>
      <c r="B1333" s="80">
        <v>0.08333333333333333</v>
      </c>
      <c r="C1333" s="78">
        <v>25</v>
      </c>
      <c r="D1333" s="79">
        <v>3</v>
      </c>
      <c r="G1333" s="83">
        <v>38163</v>
      </c>
      <c r="H1333" s="80">
        <v>0.08333333333333333</v>
      </c>
      <c r="I1333" s="78">
        <v>6</v>
      </c>
      <c r="J1333" s="79">
        <v>0</v>
      </c>
      <c r="M1333" s="83">
        <v>38163</v>
      </c>
      <c r="N1333" s="80">
        <v>0.08333333333333333</v>
      </c>
      <c r="O1333" s="78">
        <v>52</v>
      </c>
      <c r="P1333" s="79">
        <v>0</v>
      </c>
    </row>
    <row r="1334" spans="1:16" ht="12.75">
      <c r="A1334" s="83">
        <v>38163</v>
      </c>
      <c r="B1334" s="80">
        <v>0.125</v>
      </c>
      <c r="C1334" s="78">
        <v>25</v>
      </c>
      <c r="D1334" s="79">
        <v>3</v>
      </c>
      <c r="G1334" s="83">
        <v>38163</v>
      </c>
      <c r="H1334" s="80">
        <v>0.125</v>
      </c>
      <c r="I1334" s="78">
        <v>4</v>
      </c>
      <c r="J1334" s="79">
        <v>0</v>
      </c>
      <c r="M1334" s="83">
        <v>38163</v>
      </c>
      <c r="N1334" s="80">
        <v>0.125</v>
      </c>
      <c r="O1334" s="78">
        <v>36</v>
      </c>
      <c r="P1334" s="79">
        <v>0</v>
      </c>
    </row>
    <row r="1335" spans="1:16" ht="12.75">
      <c r="A1335" s="83">
        <v>38163</v>
      </c>
      <c r="B1335" s="80">
        <v>0.16666666666666666</v>
      </c>
      <c r="C1335" s="78">
        <v>19</v>
      </c>
      <c r="D1335" s="79">
        <v>0</v>
      </c>
      <c r="G1335" s="83">
        <v>38163</v>
      </c>
      <c r="H1335" s="80">
        <v>0.16666666666666666</v>
      </c>
      <c r="I1335" s="78">
        <v>2</v>
      </c>
      <c r="J1335" s="79">
        <v>0</v>
      </c>
      <c r="M1335" s="83">
        <v>38163</v>
      </c>
      <c r="N1335" s="80">
        <v>0.16666666666666666</v>
      </c>
      <c r="O1335" s="78">
        <v>42</v>
      </c>
      <c r="P1335" s="79">
        <v>0</v>
      </c>
    </row>
    <row r="1336" spans="1:16" ht="12.75">
      <c r="A1336" s="83">
        <v>38163</v>
      </c>
      <c r="B1336" s="80">
        <v>0.20833333333333334</v>
      </c>
      <c r="C1336" s="78">
        <v>19</v>
      </c>
      <c r="D1336" s="79">
        <v>3</v>
      </c>
      <c r="G1336" s="83">
        <v>38163</v>
      </c>
      <c r="H1336" s="80">
        <v>0.20833333333333334</v>
      </c>
      <c r="I1336" s="78">
        <v>2</v>
      </c>
      <c r="J1336" s="79">
        <v>0</v>
      </c>
      <c r="M1336" s="83">
        <v>38163</v>
      </c>
      <c r="N1336" s="80">
        <v>0.20833333333333334</v>
      </c>
      <c r="O1336" s="78">
        <v>53</v>
      </c>
      <c r="P1336" s="79">
        <v>3</v>
      </c>
    </row>
    <row r="1337" spans="1:16" ht="12.75">
      <c r="A1337" s="83">
        <v>38163</v>
      </c>
      <c r="B1337" s="80">
        <v>0.25</v>
      </c>
      <c r="C1337" s="78">
        <v>29</v>
      </c>
      <c r="D1337" s="79">
        <v>3</v>
      </c>
      <c r="G1337" s="83">
        <v>38163</v>
      </c>
      <c r="H1337" s="80">
        <v>0.25</v>
      </c>
      <c r="I1337" s="78">
        <v>29</v>
      </c>
      <c r="J1337" s="79">
        <v>3</v>
      </c>
      <c r="M1337" s="83">
        <v>38163</v>
      </c>
      <c r="N1337" s="80">
        <v>0.25</v>
      </c>
      <c r="O1337" s="78">
        <v>55</v>
      </c>
      <c r="P1337" s="79">
        <v>3</v>
      </c>
    </row>
    <row r="1338" spans="1:16" ht="12.75">
      <c r="A1338" s="83">
        <v>38163</v>
      </c>
      <c r="B1338" s="80">
        <v>0.2916666666666667</v>
      </c>
      <c r="C1338" s="78">
        <v>32</v>
      </c>
      <c r="D1338" s="79">
        <v>3</v>
      </c>
      <c r="G1338" s="83">
        <v>38163</v>
      </c>
      <c r="H1338" s="80">
        <v>0.2916666666666667</v>
      </c>
      <c r="I1338" s="78">
        <v>46</v>
      </c>
      <c r="J1338" s="79">
        <v>5</v>
      </c>
      <c r="M1338" s="83">
        <v>38163</v>
      </c>
      <c r="N1338" s="80">
        <v>0.2916666666666667</v>
      </c>
      <c r="O1338" s="78">
        <v>29</v>
      </c>
      <c r="P1338" s="79">
        <v>3</v>
      </c>
    </row>
    <row r="1339" spans="1:16" ht="12.75">
      <c r="A1339" s="83">
        <v>38163</v>
      </c>
      <c r="B1339" s="80">
        <v>0.3333333333333333</v>
      </c>
      <c r="C1339" s="78">
        <v>38</v>
      </c>
      <c r="D1339" s="79">
        <v>3</v>
      </c>
      <c r="G1339" s="83">
        <v>38163</v>
      </c>
      <c r="H1339" s="80">
        <v>0.3333333333333333</v>
      </c>
      <c r="I1339" s="78">
        <v>48</v>
      </c>
      <c r="J1339" s="79">
        <v>13</v>
      </c>
      <c r="M1339" s="83">
        <v>38163</v>
      </c>
      <c r="N1339" s="80">
        <v>0.3333333333333333</v>
      </c>
      <c r="O1339" s="78">
        <v>17</v>
      </c>
      <c r="P1339" s="79">
        <v>3</v>
      </c>
    </row>
    <row r="1340" spans="1:16" ht="12.75">
      <c r="A1340" s="83">
        <v>38163</v>
      </c>
      <c r="B1340" s="80">
        <v>0.375</v>
      </c>
      <c r="C1340" s="78">
        <v>31</v>
      </c>
      <c r="D1340" s="79">
        <v>3</v>
      </c>
      <c r="G1340" s="83">
        <v>38163</v>
      </c>
      <c r="H1340" s="80">
        <v>0.375</v>
      </c>
      <c r="I1340" s="78">
        <v>31</v>
      </c>
      <c r="J1340" s="79">
        <v>5</v>
      </c>
      <c r="M1340" s="83">
        <v>38163</v>
      </c>
      <c r="N1340" s="80">
        <v>0.375</v>
      </c>
      <c r="O1340" s="78">
        <v>8</v>
      </c>
      <c r="P1340" s="79">
        <v>0</v>
      </c>
    </row>
    <row r="1341" spans="1:16" ht="12.75">
      <c r="A1341" s="83">
        <v>38163</v>
      </c>
      <c r="B1341" s="80">
        <v>0.4166666666666667</v>
      </c>
      <c r="C1341" s="78">
        <v>23</v>
      </c>
      <c r="D1341" s="79">
        <v>3</v>
      </c>
      <c r="G1341" s="83">
        <v>38163</v>
      </c>
      <c r="H1341" s="80">
        <v>0.4166666666666667</v>
      </c>
      <c r="I1341" s="78">
        <v>34</v>
      </c>
      <c r="J1341" s="79">
        <v>5</v>
      </c>
      <c r="M1341" s="83">
        <v>38163</v>
      </c>
      <c r="N1341" s="80">
        <v>0.4166666666666667</v>
      </c>
      <c r="O1341" s="78">
        <v>46</v>
      </c>
      <c r="P1341" s="79">
        <v>5</v>
      </c>
    </row>
    <row r="1342" spans="1:16" ht="12.75">
      <c r="A1342" s="83">
        <v>38163</v>
      </c>
      <c r="B1342" s="80">
        <v>0.4583333333333333</v>
      </c>
      <c r="C1342" s="78">
        <v>27</v>
      </c>
      <c r="D1342" s="79">
        <v>3</v>
      </c>
      <c r="G1342" s="83">
        <v>38163</v>
      </c>
      <c r="H1342" s="80">
        <v>0.4583333333333333</v>
      </c>
      <c r="I1342" s="78">
        <v>36</v>
      </c>
      <c r="J1342" s="79">
        <v>16</v>
      </c>
      <c r="M1342" s="83">
        <v>38163</v>
      </c>
      <c r="N1342" s="80">
        <v>0.4583333333333333</v>
      </c>
      <c r="O1342" s="78">
        <v>34</v>
      </c>
      <c r="P1342" s="79">
        <v>11</v>
      </c>
    </row>
    <row r="1343" spans="1:16" ht="12.75">
      <c r="A1343" s="83">
        <v>38163</v>
      </c>
      <c r="B1343" s="80">
        <v>0.5</v>
      </c>
      <c r="C1343" s="78">
        <v>17</v>
      </c>
      <c r="D1343" s="79">
        <v>3</v>
      </c>
      <c r="G1343" s="83">
        <v>38163</v>
      </c>
      <c r="H1343" s="80">
        <v>0.5</v>
      </c>
      <c r="I1343" s="78">
        <v>31</v>
      </c>
      <c r="J1343" s="79">
        <v>11</v>
      </c>
      <c r="M1343" s="83">
        <v>38163</v>
      </c>
      <c r="N1343" s="80">
        <v>0.5</v>
      </c>
      <c r="O1343" s="78">
        <v>48</v>
      </c>
      <c r="P1343" s="79">
        <v>8</v>
      </c>
    </row>
    <row r="1344" spans="1:16" ht="12.75">
      <c r="A1344" s="83">
        <v>38163</v>
      </c>
      <c r="B1344" s="80">
        <v>0.5416666666666666</v>
      </c>
      <c r="C1344" s="78">
        <v>15</v>
      </c>
      <c r="D1344" s="79">
        <v>3</v>
      </c>
      <c r="G1344" s="83">
        <v>38163</v>
      </c>
      <c r="H1344" s="80">
        <v>0.5416666666666666</v>
      </c>
      <c r="I1344" s="78">
        <v>10</v>
      </c>
      <c r="J1344" s="79">
        <v>5</v>
      </c>
      <c r="M1344" s="83">
        <v>38163</v>
      </c>
      <c r="N1344" s="80">
        <v>0.5416666666666666</v>
      </c>
      <c r="O1344" s="78">
        <v>11</v>
      </c>
      <c r="P1344" s="79">
        <v>0</v>
      </c>
    </row>
    <row r="1345" spans="1:16" ht="12.75">
      <c r="A1345" s="83">
        <v>38163</v>
      </c>
      <c r="B1345" s="80">
        <v>0.5833333333333334</v>
      </c>
      <c r="C1345" s="78">
        <v>13</v>
      </c>
      <c r="D1345" s="79">
        <v>3</v>
      </c>
      <c r="G1345" s="83">
        <v>38163</v>
      </c>
      <c r="H1345" s="80">
        <v>0.5833333333333334</v>
      </c>
      <c r="I1345" s="78">
        <v>10</v>
      </c>
      <c r="J1345" s="79">
        <v>5</v>
      </c>
      <c r="M1345" s="83">
        <v>38163</v>
      </c>
      <c r="N1345" s="80">
        <v>0.5833333333333334</v>
      </c>
      <c r="O1345" s="78">
        <v>34</v>
      </c>
      <c r="P1345" s="79">
        <v>3</v>
      </c>
    </row>
    <row r="1346" spans="1:16" ht="12.75">
      <c r="A1346" s="83">
        <v>38163</v>
      </c>
      <c r="B1346" s="80">
        <v>0.625</v>
      </c>
      <c r="C1346" s="78">
        <v>19</v>
      </c>
      <c r="D1346" s="79">
        <v>3</v>
      </c>
      <c r="G1346" s="83">
        <v>38163</v>
      </c>
      <c r="H1346" s="80">
        <v>0.625</v>
      </c>
      <c r="I1346" s="78">
        <v>8</v>
      </c>
      <c r="J1346" s="79">
        <v>19</v>
      </c>
      <c r="M1346" s="83">
        <v>38163</v>
      </c>
      <c r="N1346" s="80">
        <v>0.625</v>
      </c>
      <c r="O1346" s="78">
        <v>29</v>
      </c>
      <c r="P1346" s="79">
        <v>0</v>
      </c>
    </row>
    <row r="1347" spans="1:16" ht="12.75">
      <c r="A1347" s="83">
        <v>38163</v>
      </c>
      <c r="B1347" s="80">
        <v>0.6666666666666666</v>
      </c>
      <c r="C1347" s="78">
        <v>17</v>
      </c>
      <c r="D1347" s="79">
        <v>0</v>
      </c>
      <c r="G1347" s="83">
        <v>38163</v>
      </c>
      <c r="H1347" s="80">
        <v>0.6666666666666666</v>
      </c>
      <c r="I1347" s="78">
        <v>10</v>
      </c>
      <c r="J1347" s="79">
        <v>11</v>
      </c>
      <c r="M1347" s="83">
        <v>38163</v>
      </c>
      <c r="N1347" s="80">
        <v>0.6666666666666666</v>
      </c>
      <c r="O1347" s="78">
        <v>48</v>
      </c>
      <c r="P1347" s="79">
        <v>0</v>
      </c>
    </row>
    <row r="1348" spans="1:16" ht="12.75">
      <c r="A1348" s="83">
        <v>38163</v>
      </c>
      <c r="B1348" s="80">
        <v>0.7083333333333334</v>
      </c>
      <c r="C1348" s="78">
        <v>17</v>
      </c>
      <c r="D1348" s="79">
        <v>3</v>
      </c>
      <c r="G1348" s="83">
        <v>38163</v>
      </c>
      <c r="H1348" s="80">
        <v>0.7083333333333334</v>
      </c>
      <c r="I1348" s="78">
        <v>15</v>
      </c>
      <c r="J1348" s="79">
        <v>13</v>
      </c>
      <c r="M1348" s="83">
        <v>38163</v>
      </c>
      <c r="N1348" s="80">
        <v>0.7083333333333334</v>
      </c>
      <c r="O1348" s="78">
        <v>44</v>
      </c>
      <c r="P1348" s="79">
        <v>0</v>
      </c>
    </row>
    <row r="1349" spans="1:16" ht="12.75">
      <c r="A1349" s="83">
        <v>38163</v>
      </c>
      <c r="B1349" s="80">
        <v>0.75</v>
      </c>
      <c r="C1349" s="78">
        <v>19</v>
      </c>
      <c r="D1349" s="79">
        <v>3</v>
      </c>
      <c r="G1349" s="83">
        <v>38163</v>
      </c>
      <c r="H1349" s="80">
        <v>0.75</v>
      </c>
      <c r="I1349" s="78">
        <v>11</v>
      </c>
      <c r="J1349" s="79">
        <v>13</v>
      </c>
      <c r="M1349" s="83">
        <v>38163</v>
      </c>
      <c r="N1349" s="80">
        <v>0.75</v>
      </c>
      <c r="O1349" s="78">
        <v>53</v>
      </c>
      <c r="P1349" s="79">
        <v>0</v>
      </c>
    </row>
    <row r="1350" spans="1:16" ht="12.75">
      <c r="A1350" s="83">
        <v>38163</v>
      </c>
      <c r="B1350" s="80">
        <v>0.7916666666666666</v>
      </c>
      <c r="C1350" s="78">
        <v>15</v>
      </c>
      <c r="D1350" s="79">
        <v>3</v>
      </c>
      <c r="G1350" s="83">
        <v>38163</v>
      </c>
      <c r="H1350" s="80">
        <v>0.7916666666666666</v>
      </c>
      <c r="I1350" s="78">
        <v>11</v>
      </c>
      <c r="J1350" s="79">
        <v>13</v>
      </c>
      <c r="M1350" s="83">
        <v>38163</v>
      </c>
      <c r="N1350" s="80">
        <v>0.7916666666666666</v>
      </c>
      <c r="O1350" s="78">
        <v>73</v>
      </c>
      <c r="P1350" s="79">
        <v>3</v>
      </c>
    </row>
    <row r="1351" spans="1:16" ht="12.75">
      <c r="A1351" s="83">
        <v>38163</v>
      </c>
      <c r="B1351" s="80">
        <v>0.8333333333333334</v>
      </c>
      <c r="C1351" s="78">
        <v>44</v>
      </c>
      <c r="D1351" s="79">
        <v>21</v>
      </c>
      <c r="G1351" s="83">
        <v>38163</v>
      </c>
      <c r="H1351" s="80">
        <v>0.8333333333333334</v>
      </c>
      <c r="I1351" s="78">
        <v>11</v>
      </c>
      <c r="J1351" s="79">
        <v>11</v>
      </c>
      <c r="M1351" s="83">
        <v>38163</v>
      </c>
      <c r="N1351" s="80">
        <v>0.8333333333333334</v>
      </c>
      <c r="O1351" s="78">
        <v>80</v>
      </c>
      <c r="P1351" s="79">
        <v>3</v>
      </c>
    </row>
    <row r="1352" spans="1:16" ht="12.75">
      <c r="A1352" s="83">
        <v>38163</v>
      </c>
      <c r="B1352" s="80">
        <v>0.875</v>
      </c>
      <c r="C1352" s="78">
        <v>48</v>
      </c>
      <c r="D1352" s="79">
        <v>37</v>
      </c>
      <c r="G1352" s="83">
        <v>38163</v>
      </c>
      <c r="H1352" s="80">
        <v>0.875</v>
      </c>
      <c r="I1352" s="78">
        <v>11</v>
      </c>
      <c r="J1352" s="79">
        <v>8</v>
      </c>
      <c r="M1352" s="83">
        <v>38163</v>
      </c>
      <c r="N1352" s="80">
        <v>0.875</v>
      </c>
      <c r="O1352" s="78">
        <v>76</v>
      </c>
      <c r="P1352" s="79">
        <v>5</v>
      </c>
    </row>
    <row r="1353" spans="1:16" ht="12.75">
      <c r="A1353" s="83">
        <v>38163</v>
      </c>
      <c r="B1353" s="80">
        <v>0.9166666666666666</v>
      </c>
      <c r="C1353" s="78">
        <v>23</v>
      </c>
      <c r="D1353" s="79">
        <v>3</v>
      </c>
      <c r="G1353" s="83">
        <v>38163</v>
      </c>
      <c r="H1353" s="80">
        <v>0.9166666666666666</v>
      </c>
      <c r="I1353" s="78">
        <v>10</v>
      </c>
      <c r="J1353" s="79">
        <v>3</v>
      </c>
      <c r="M1353" s="83">
        <v>38163</v>
      </c>
      <c r="N1353" s="80">
        <v>0.9166666666666666</v>
      </c>
      <c r="O1353" s="78">
        <v>78</v>
      </c>
      <c r="P1353" s="79">
        <v>5</v>
      </c>
    </row>
    <row r="1354" spans="1:16" ht="12.75">
      <c r="A1354" s="83">
        <v>38163</v>
      </c>
      <c r="B1354" s="80">
        <v>0.9583333333333334</v>
      </c>
      <c r="C1354" s="78">
        <v>17</v>
      </c>
      <c r="D1354" s="79">
        <v>3</v>
      </c>
      <c r="G1354" s="83">
        <v>38163</v>
      </c>
      <c r="H1354" s="80">
        <v>0.9583333333333334</v>
      </c>
      <c r="I1354" s="78">
        <v>8</v>
      </c>
      <c r="J1354" s="79">
        <v>3</v>
      </c>
      <c r="M1354" s="83">
        <v>38163</v>
      </c>
      <c r="N1354" s="80">
        <v>0.9583333333333334</v>
      </c>
      <c r="O1354" s="78">
        <v>73</v>
      </c>
      <c r="P1354" s="79">
        <v>5</v>
      </c>
    </row>
    <row r="1355" spans="1:16" ht="12.75">
      <c r="A1355" s="83">
        <v>38163</v>
      </c>
      <c r="B1355" s="81">
        <v>1</v>
      </c>
      <c r="C1355" s="78">
        <v>13</v>
      </c>
      <c r="D1355" s="79">
        <v>3</v>
      </c>
      <c r="G1355" s="83">
        <v>38163</v>
      </c>
      <c r="H1355" s="81">
        <v>1</v>
      </c>
      <c r="I1355" s="78">
        <v>19</v>
      </c>
      <c r="J1355" s="79">
        <v>3</v>
      </c>
      <c r="M1355" s="83">
        <v>38163</v>
      </c>
      <c r="N1355" s="81">
        <v>1</v>
      </c>
      <c r="O1355" s="78">
        <v>67</v>
      </c>
      <c r="P1355" s="79">
        <v>3</v>
      </c>
    </row>
    <row r="1356" spans="1:16" s="92" customFormat="1" ht="12.75">
      <c r="A1356" s="90">
        <v>38164</v>
      </c>
      <c r="B1356" s="91">
        <v>0.041666666666666664</v>
      </c>
      <c r="C1356" s="92">
        <v>10</v>
      </c>
      <c r="D1356" s="92">
        <v>3</v>
      </c>
      <c r="G1356" s="90">
        <v>38164</v>
      </c>
      <c r="H1356" s="91">
        <v>0.041666666666666664</v>
      </c>
      <c r="I1356" s="92">
        <v>11</v>
      </c>
      <c r="J1356" s="92">
        <v>3</v>
      </c>
      <c r="M1356" s="90">
        <v>38164</v>
      </c>
      <c r="N1356" s="91">
        <v>0.041666666666666664</v>
      </c>
      <c r="O1356" s="92">
        <v>67</v>
      </c>
      <c r="P1356" s="92">
        <v>3</v>
      </c>
    </row>
    <row r="1357" spans="1:16" ht="12.75">
      <c r="A1357" s="83">
        <v>38164</v>
      </c>
      <c r="B1357" s="80">
        <v>0.08333333333333333</v>
      </c>
      <c r="C1357" s="78">
        <v>8</v>
      </c>
      <c r="D1357" s="79">
        <v>3</v>
      </c>
      <c r="G1357" s="83">
        <v>38164</v>
      </c>
      <c r="H1357" s="80">
        <v>0.08333333333333333</v>
      </c>
      <c r="I1357" s="78">
        <v>25</v>
      </c>
      <c r="J1357" s="79">
        <v>3</v>
      </c>
      <c r="M1357" s="83">
        <v>38164</v>
      </c>
      <c r="N1357" s="80">
        <v>0.08333333333333333</v>
      </c>
      <c r="O1357" s="78">
        <v>69</v>
      </c>
      <c r="P1357" s="79">
        <v>3</v>
      </c>
    </row>
    <row r="1358" spans="1:16" ht="12.75">
      <c r="A1358" s="83">
        <v>38164</v>
      </c>
      <c r="B1358" s="80">
        <v>0.125</v>
      </c>
      <c r="C1358" s="78">
        <v>10</v>
      </c>
      <c r="D1358" s="79">
        <v>3</v>
      </c>
      <c r="G1358" s="83">
        <v>38164</v>
      </c>
      <c r="H1358" s="80">
        <v>0.125</v>
      </c>
      <c r="I1358" s="78">
        <v>8</v>
      </c>
      <c r="J1358" s="79">
        <v>0</v>
      </c>
      <c r="M1358" s="83">
        <v>38164</v>
      </c>
      <c r="N1358" s="80">
        <v>0.125</v>
      </c>
      <c r="O1358" s="78">
        <v>61</v>
      </c>
      <c r="P1358" s="79">
        <v>3</v>
      </c>
    </row>
    <row r="1359" spans="1:16" ht="12.75">
      <c r="A1359" s="83">
        <v>38164</v>
      </c>
      <c r="B1359" s="80">
        <v>0.16666666666666666</v>
      </c>
      <c r="C1359" s="78">
        <v>15</v>
      </c>
      <c r="D1359" s="79">
        <v>3</v>
      </c>
      <c r="G1359" s="83">
        <v>38164</v>
      </c>
      <c r="H1359" s="80">
        <v>0.16666666666666666</v>
      </c>
      <c r="I1359" s="78">
        <v>0</v>
      </c>
      <c r="J1359" s="79">
        <v>0</v>
      </c>
      <c r="M1359" s="83">
        <v>38164</v>
      </c>
      <c r="N1359" s="80">
        <v>0.16666666666666666</v>
      </c>
      <c r="O1359" s="78">
        <v>55</v>
      </c>
      <c r="P1359" s="79">
        <v>3</v>
      </c>
    </row>
    <row r="1360" spans="1:16" ht="12.75">
      <c r="A1360" s="83">
        <v>38164</v>
      </c>
      <c r="B1360" s="80">
        <v>0.20833333333333334</v>
      </c>
      <c r="C1360" s="78">
        <v>13</v>
      </c>
      <c r="D1360" s="79">
        <v>3</v>
      </c>
      <c r="G1360" s="83">
        <v>38164</v>
      </c>
      <c r="H1360" s="80">
        <v>0.20833333333333334</v>
      </c>
      <c r="I1360" s="78">
        <v>0</v>
      </c>
      <c r="J1360" s="79">
        <v>3</v>
      </c>
      <c r="M1360" s="83">
        <v>38164</v>
      </c>
      <c r="N1360" s="80">
        <v>0.20833333333333334</v>
      </c>
      <c r="O1360" s="78">
        <v>59</v>
      </c>
      <c r="P1360" s="79">
        <v>3</v>
      </c>
    </row>
    <row r="1361" spans="1:16" ht="12.75">
      <c r="A1361" s="83">
        <v>38164</v>
      </c>
      <c r="B1361" s="80">
        <v>0.25</v>
      </c>
      <c r="C1361" s="78">
        <v>15</v>
      </c>
      <c r="D1361" s="79">
        <v>3</v>
      </c>
      <c r="G1361" s="83">
        <v>38164</v>
      </c>
      <c r="H1361" s="80">
        <v>0.25</v>
      </c>
      <c r="I1361" s="78">
        <v>0</v>
      </c>
      <c r="J1361" s="79">
        <v>3</v>
      </c>
      <c r="M1361" s="83">
        <v>38164</v>
      </c>
      <c r="N1361" s="80">
        <v>0.25</v>
      </c>
      <c r="O1361" s="78">
        <v>63</v>
      </c>
      <c r="P1361" s="79">
        <v>3</v>
      </c>
    </row>
    <row r="1362" spans="1:16" ht="12.75">
      <c r="A1362" s="83">
        <v>38164</v>
      </c>
      <c r="B1362" s="80">
        <v>0.2916666666666667</v>
      </c>
      <c r="C1362" s="78">
        <v>15</v>
      </c>
      <c r="D1362" s="79">
        <v>3</v>
      </c>
      <c r="G1362" s="83">
        <v>38164</v>
      </c>
      <c r="H1362" s="80">
        <v>0.2916666666666667</v>
      </c>
      <c r="I1362" s="78">
        <v>0</v>
      </c>
      <c r="J1362" s="79">
        <v>3</v>
      </c>
      <c r="M1362" s="83">
        <v>38164</v>
      </c>
      <c r="N1362" s="80">
        <v>0.2916666666666667</v>
      </c>
      <c r="O1362" s="78">
        <v>69</v>
      </c>
      <c r="P1362" s="79">
        <v>3</v>
      </c>
    </row>
    <row r="1363" spans="1:16" ht="12.75">
      <c r="A1363" s="83">
        <v>38164</v>
      </c>
      <c r="B1363" s="80">
        <v>0.3333333333333333</v>
      </c>
      <c r="C1363" s="78">
        <v>27</v>
      </c>
      <c r="D1363" s="79">
        <v>3</v>
      </c>
      <c r="G1363" s="83">
        <v>38164</v>
      </c>
      <c r="H1363" s="80">
        <v>0.3333333333333333</v>
      </c>
      <c r="I1363" s="78">
        <v>0</v>
      </c>
      <c r="J1363" s="79">
        <v>3</v>
      </c>
      <c r="M1363" s="83">
        <v>38164</v>
      </c>
      <c r="N1363" s="80">
        <v>0.3333333333333333</v>
      </c>
      <c r="O1363" s="78">
        <v>74</v>
      </c>
      <c r="P1363" s="79">
        <v>5</v>
      </c>
    </row>
    <row r="1364" spans="1:16" ht="12.75">
      <c r="A1364" s="83">
        <v>38164</v>
      </c>
      <c r="B1364" s="80">
        <v>0.375</v>
      </c>
      <c r="C1364" s="78">
        <v>23</v>
      </c>
      <c r="D1364" s="79">
        <v>3</v>
      </c>
      <c r="G1364" s="83">
        <v>38164</v>
      </c>
      <c r="H1364" s="80">
        <v>0.375</v>
      </c>
      <c r="I1364" s="78">
        <v>11</v>
      </c>
      <c r="J1364" s="79">
        <v>5</v>
      </c>
      <c r="M1364" s="83">
        <v>38164</v>
      </c>
      <c r="N1364" s="80">
        <v>0.375</v>
      </c>
      <c r="O1364" s="78">
        <v>76</v>
      </c>
      <c r="P1364" s="79">
        <v>5</v>
      </c>
    </row>
    <row r="1365" spans="1:16" ht="12.75">
      <c r="A1365" s="83">
        <v>38164</v>
      </c>
      <c r="B1365" s="80">
        <v>0.4166666666666667</v>
      </c>
      <c r="C1365" s="78">
        <v>21</v>
      </c>
      <c r="D1365" s="79">
        <v>3</v>
      </c>
      <c r="G1365" s="83">
        <v>38164</v>
      </c>
      <c r="H1365" s="80">
        <v>0.4166666666666667</v>
      </c>
      <c r="I1365" s="78">
        <v>17</v>
      </c>
      <c r="J1365" s="79">
        <v>8</v>
      </c>
      <c r="M1365" s="83">
        <v>38164</v>
      </c>
      <c r="N1365" s="80">
        <v>0.4166666666666667</v>
      </c>
      <c r="O1365" s="78">
        <v>74</v>
      </c>
      <c r="P1365" s="79">
        <v>5</v>
      </c>
    </row>
    <row r="1366" spans="1:16" ht="12.75">
      <c r="A1366" s="83">
        <v>38164</v>
      </c>
      <c r="B1366" s="80">
        <v>0.4583333333333333</v>
      </c>
      <c r="C1366" s="78">
        <v>21</v>
      </c>
      <c r="D1366" s="79">
        <v>3</v>
      </c>
      <c r="G1366" s="83">
        <v>38164</v>
      </c>
      <c r="H1366" s="80">
        <v>0.4583333333333333</v>
      </c>
      <c r="I1366" s="78">
        <v>25</v>
      </c>
      <c r="J1366" s="79">
        <v>5</v>
      </c>
      <c r="M1366" s="83">
        <v>38164</v>
      </c>
      <c r="N1366" s="80">
        <v>0.4583333333333333</v>
      </c>
      <c r="O1366" s="78">
        <v>67</v>
      </c>
      <c r="P1366" s="79">
        <v>3</v>
      </c>
    </row>
    <row r="1367" spans="1:16" ht="12.75">
      <c r="A1367" s="83">
        <v>38164</v>
      </c>
      <c r="B1367" s="80">
        <v>0.5</v>
      </c>
      <c r="C1367" s="78">
        <v>25</v>
      </c>
      <c r="D1367" s="79">
        <v>3</v>
      </c>
      <c r="G1367" s="83">
        <v>38164</v>
      </c>
      <c r="H1367" s="80">
        <v>0.5</v>
      </c>
      <c r="I1367" s="78">
        <v>23</v>
      </c>
      <c r="J1367" s="79">
        <v>3</v>
      </c>
      <c r="M1367" s="83">
        <v>38164</v>
      </c>
      <c r="N1367" s="80">
        <v>0.5</v>
      </c>
      <c r="O1367" s="78">
        <v>65</v>
      </c>
      <c r="P1367" s="79">
        <v>3</v>
      </c>
    </row>
    <row r="1368" spans="1:16" ht="12.75">
      <c r="A1368" s="83">
        <v>38164</v>
      </c>
      <c r="B1368" s="80">
        <v>0.5416666666666666</v>
      </c>
      <c r="C1368" s="78">
        <v>34</v>
      </c>
      <c r="D1368" s="79">
        <v>3</v>
      </c>
      <c r="G1368" s="83">
        <v>38164</v>
      </c>
      <c r="H1368" s="80">
        <v>0.5416666666666666</v>
      </c>
      <c r="I1368" s="78">
        <v>15</v>
      </c>
      <c r="J1368" s="79">
        <v>3</v>
      </c>
      <c r="M1368" s="83">
        <v>38164</v>
      </c>
      <c r="N1368" s="80">
        <v>0.5416666666666666</v>
      </c>
      <c r="O1368" s="78">
        <v>69</v>
      </c>
      <c r="P1368" s="79">
        <v>3</v>
      </c>
    </row>
    <row r="1369" spans="1:16" ht="12.75">
      <c r="A1369" s="83">
        <v>38164</v>
      </c>
      <c r="B1369" s="80">
        <v>0.5833333333333334</v>
      </c>
      <c r="C1369" s="78">
        <v>25</v>
      </c>
      <c r="D1369" s="79">
        <v>3</v>
      </c>
      <c r="G1369" s="83">
        <v>38164</v>
      </c>
      <c r="H1369" s="80">
        <v>0.5833333333333334</v>
      </c>
      <c r="I1369" s="78">
        <v>15</v>
      </c>
      <c r="J1369" s="79">
        <v>3</v>
      </c>
      <c r="M1369" s="83">
        <v>38164</v>
      </c>
      <c r="N1369" s="80">
        <v>0.5833333333333334</v>
      </c>
      <c r="O1369" s="78">
        <v>69</v>
      </c>
      <c r="P1369" s="79">
        <v>5</v>
      </c>
    </row>
    <row r="1370" spans="1:16" ht="12.75">
      <c r="A1370" s="83">
        <v>38164</v>
      </c>
      <c r="B1370" s="80">
        <v>0.625</v>
      </c>
      <c r="C1370" s="78">
        <v>32</v>
      </c>
      <c r="D1370" s="79">
        <v>3</v>
      </c>
      <c r="G1370" s="83">
        <v>38164</v>
      </c>
      <c r="H1370" s="80">
        <v>0.625</v>
      </c>
      <c r="I1370" s="78">
        <v>17</v>
      </c>
      <c r="J1370" s="79">
        <v>3</v>
      </c>
      <c r="M1370" s="83">
        <v>38164</v>
      </c>
      <c r="N1370" s="80">
        <v>0.625</v>
      </c>
      <c r="O1370" s="78">
        <v>76</v>
      </c>
      <c r="P1370" s="79">
        <v>5</v>
      </c>
    </row>
    <row r="1371" spans="1:16" ht="12.75">
      <c r="A1371" s="83">
        <v>38164</v>
      </c>
      <c r="B1371" s="80">
        <v>0.6666666666666666</v>
      </c>
      <c r="C1371" s="78">
        <v>19</v>
      </c>
      <c r="D1371" s="79">
        <v>3</v>
      </c>
      <c r="G1371" s="83">
        <v>38164</v>
      </c>
      <c r="H1371" s="80">
        <v>0.6666666666666666</v>
      </c>
      <c r="I1371" s="78">
        <v>17</v>
      </c>
      <c r="J1371" s="79">
        <v>3</v>
      </c>
      <c r="M1371" s="83">
        <v>38164</v>
      </c>
      <c r="N1371" s="80">
        <v>0.6666666666666666</v>
      </c>
      <c r="O1371" s="78">
        <v>74</v>
      </c>
      <c r="P1371" s="79">
        <v>5</v>
      </c>
    </row>
    <row r="1372" spans="1:16" ht="12.75">
      <c r="A1372" s="83">
        <v>38164</v>
      </c>
      <c r="B1372" s="80">
        <v>0.7083333333333334</v>
      </c>
      <c r="C1372" s="78">
        <v>29</v>
      </c>
      <c r="D1372" s="79">
        <v>3</v>
      </c>
      <c r="G1372" s="83">
        <v>38164</v>
      </c>
      <c r="H1372" s="80">
        <v>0.7083333333333334</v>
      </c>
      <c r="I1372" s="78">
        <v>19</v>
      </c>
      <c r="J1372" s="79">
        <v>3</v>
      </c>
      <c r="M1372" s="83">
        <v>38164</v>
      </c>
      <c r="N1372" s="80">
        <v>0.7083333333333334</v>
      </c>
      <c r="O1372" s="78">
        <v>73</v>
      </c>
      <c r="P1372" s="79">
        <v>5</v>
      </c>
    </row>
    <row r="1373" spans="1:16" ht="12.75">
      <c r="A1373" s="83">
        <v>38164</v>
      </c>
      <c r="B1373" s="80">
        <v>0.75</v>
      </c>
      <c r="C1373" s="78">
        <v>40</v>
      </c>
      <c r="D1373" s="79">
        <v>3</v>
      </c>
      <c r="G1373" s="83">
        <v>38164</v>
      </c>
      <c r="H1373" s="80">
        <v>0.75</v>
      </c>
      <c r="I1373" s="78">
        <v>21</v>
      </c>
      <c r="J1373" s="79">
        <v>3</v>
      </c>
      <c r="M1373" s="83">
        <v>38164</v>
      </c>
      <c r="N1373" s="80">
        <v>0.75</v>
      </c>
      <c r="O1373" s="78">
        <v>80</v>
      </c>
      <c r="P1373" s="79">
        <v>5</v>
      </c>
    </row>
    <row r="1374" spans="1:16" ht="12.75">
      <c r="A1374" s="83">
        <v>38164</v>
      </c>
      <c r="B1374" s="80">
        <v>0.7916666666666666</v>
      </c>
      <c r="C1374" s="78">
        <v>25</v>
      </c>
      <c r="D1374" s="79">
        <v>3</v>
      </c>
      <c r="G1374" s="83">
        <v>38164</v>
      </c>
      <c r="H1374" s="80">
        <v>0.7916666666666666</v>
      </c>
      <c r="I1374" s="78">
        <v>17</v>
      </c>
      <c r="J1374" s="79">
        <v>0</v>
      </c>
      <c r="M1374" s="83">
        <v>38164</v>
      </c>
      <c r="N1374" s="80">
        <v>0.7916666666666666</v>
      </c>
      <c r="O1374" s="78">
        <v>82</v>
      </c>
      <c r="P1374" s="79">
        <v>5</v>
      </c>
    </row>
    <row r="1375" spans="1:16" ht="12.75">
      <c r="A1375" s="83">
        <v>38164</v>
      </c>
      <c r="B1375" s="80">
        <v>0.8333333333333334</v>
      </c>
      <c r="C1375" s="78">
        <v>25</v>
      </c>
      <c r="D1375" s="79">
        <v>3</v>
      </c>
      <c r="G1375" s="83">
        <v>38164</v>
      </c>
      <c r="H1375" s="80">
        <v>0.8333333333333334</v>
      </c>
      <c r="I1375" s="78">
        <v>15</v>
      </c>
      <c r="J1375" s="79">
        <v>0</v>
      </c>
      <c r="M1375" s="83">
        <v>38164</v>
      </c>
      <c r="N1375" s="80">
        <v>0.8333333333333334</v>
      </c>
      <c r="O1375" s="78">
        <v>78</v>
      </c>
      <c r="P1375" s="79">
        <v>3</v>
      </c>
    </row>
    <row r="1376" spans="1:16" ht="12.75">
      <c r="A1376" s="83">
        <v>38164</v>
      </c>
      <c r="B1376" s="80">
        <v>0.875</v>
      </c>
      <c r="C1376" s="78">
        <v>29</v>
      </c>
      <c r="D1376" s="79">
        <v>3</v>
      </c>
      <c r="G1376" s="83">
        <v>38164</v>
      </c>
      <c r="H1376" s="80">
        <v>0.875</v>
      </c>
      <c r="I1376" s="78">
        <v>11</v>
      </c>
      <c r="J1376" s="79">
        <v>0</v>
      </c>
      <c r="M1376" s="83">
        <v>38164</v>
      </c>
      <c r="N1376" s="80">
        <v>0.875</v>
      </c>
      <c r="O1376" s="78">
        <v>73</v>
      </c>
      <c r="P1376" s="79">
        <v>3</v>
      </c>
    </row>
    <row r="1377" spans="1:16" ht="12.75">
      <c r="A1377" s="83">
        <v>38164</v>
      </c>
      <c r="B1377" s="80">
        <v>0.9166666666666666</v>
      </c>
      <c r="C1377" s="78">
        <v>36</v>
      </c>
      <c r="D1377" s="79">
        <v>3</v>
      </c>
      <c r="G1377" s="83">
        <v>38164</v>
      </c>
      <c r="H1377" s="80">
        <v>0.9166666666666666</v>
      </c>
      <c r="I1377" s="78">
        <v>11</v>
      </c>
      <c r="J1377" s="79">
        <v>0</v>
      </c>
      <c r="M1377" s="83">
        <v>38164</v>
      </c>
      <c r="N1377" s="80">
        <v>0.9166666666666666</v>
      </c>
      <c r="O1377" s="78">
        <v>65</v>
      </c>
      <c r="P1377" s="79">
        <v>3</v>
      </c>
    </row>
    <row r="1378" spans="1:16" ht="12.75">
      <c r="A1378" s="83">
        <v>38164</v>
      </c>
      <c r="B1378" s="80">
        <v>0.9583333333333334</v>
      </c>
      <c r="C1378" s="78">
        <v>15</v>
      </c>
      <c r="D1378" s="79">
        <v>3</v>
      </c>
      <c r="G1378" s="83">
        <v>38164</v>
      </c>
      <c r="H1378" s="80">
        <v>0.9583333333333334</v>
      </c>
      <c r="I1378" s="78">
        <v>19</v>
      </c>
      <c r="J1378" s="79">
        <v>3</v>
      </c>
      <c r="M1378" s="83">
        <v>38164</v>
      </c>
      <c r="N1378" s="80">
        <v>0.9583333333333334</v>
      </c>
      <c r="O1378" s="78">
        <v>46</v>
      </c>
      <c r="P1378" s="79">
        <v>3</v>
      </c>
    </row>
    <row r="1379" spans="1:16" ht="12.75">
      <c r="A1379" s="83">
        <v>38164</v>
      </c>
      <c r="B1379" s="81">
        <v>1</v>
      </c>
      <c r="C1379" s="78">
        <v>17</v>
      </c>
      <c r="D1379" s="79">
        <v>3</v>
      </c>
      <c r="G1379" s="83">
        <v>38164</v>
      </c>
      <c r="H1379" s="81">
        <v>1</v>
      </c>
      <c r="I1379" s="78">
        <v>11</v>
      </c>
      <c r="J1379" s="79">
        <v>0</v>
      </c>
      <c r="M1379" s="83">
        <v>38164</v>
      </c>
      <c r="N1379" s="81">
        <v>1</v>
      </c>
      <c r="O1379" s="78">
        <v>42</v>
      </c>
      <c r="P1379" s="79">
        <v>3</v>
      </c>
    </row>
    <row r="1380" spans="1:16" s="92" customFormat="1" ht="12.75">
      <c r="A1380" s="90">
        <v>38165</v>
      </c>
      <c r="B1380" s="91">
        <v>0.041666666666666664</v>
      </c>
      <c r="C1380" s="92">
        <v>15</v>
      </c>
      <c r="D1380" s="92">
        <v>0</v>
      </c>
      <c r="G1380" s="90">
        <v>38165</v>
      </c>
      <c r="H1380" s="91">
        <v>0.041666666666666664</v>
      </c>
      <c r="I1380" s="92">
        <v>8</v>
      </c>
      <c r="J1380" s="92">
        <v>3</v>
      </c>
      <c r="M1380" s="90">
        <v>38165</v>
      </c>
      <c r="N1380" s="91">
        <v>0.041666666666666664</v>
      </c>
      <c r="O1380" s="92">
        <v>38</v>
      </c>
      <c r="P1380" s="92">
        <v>3</v>
      </c>
    </row>
    <row r="1381" spans="1:16" ht="12.75">
      <c r="A1381" s="83">
        <v>38165</v>
      </c>
      <c r="B1381" s="80">
        <v>0.08333333333333333</v>
      </c>
      <c r="C1381" s="78">
        <v>21</v>
      </c>
      <c r="D1381" s="79">
        <v>3</v>
      </c>
      <c r="G1381" s="83">
        <v>38165</v>
      </c>
      <c r="H1381" s="80">
        <v>0.08333333333333333</v>
      </c>
      <c r="I1381" s="78">
        <v>15</v>
      </c>
      <c r="J1381" s="79">
        <v>0</v>
      </c>
      <c r="M1381" s="83">
        <v>38165</v>
      </c>
      <c r="N1381" s="80">
        <v>0.08333333333333333</v>
      </c>
      <c r="O1381" s="78">
        <v>29</v>
      </c>
      <c r="P1381" s="79">
        <v>0</v>
      </c>
    </row>
    <row r="1382" spans="1:16" ht="12.75">
      <c r="A1382" s="83">
        <v>38165</v>
      </c>
      <c r="B1382" s="80">
        <v>0.125</v>
      </c>
      <c r="C1382" s="78">
        <v>23</v>
      </c>
      <c r="D1382" s="79">
        <v>3</v>
      </c>
      <c r="G1382" s="83">
        <v>38165</v>
      </c>
      <c r="H1382" s="80">
        <v>0.125</v>
      </c>
      <c r="I1382" s="78">
        <v>6</v>
      </c>
      <c r="J1382" s="79">
        <v>0</v>
      </c>
      <c r="M1382" s="83">
        <v>38165</v>
      </c>
      <c r="N1382" s="80">
        <v>0.125</v>
      </c>
      <c r="O1382" s="78">
        <v>21</v>
      </c>
      <c r="P1382" s="79">
        <v>0</v>
      </c>
    </row>
    <row r="1383" spans="1:16" ht="12.75">
      <c r="A1383" s="83">
        <v>38165</v>
      </c>
      <c r="B1383" s="80">
        <v>0.16666666666666666</v>
      </c>
      <c r="C1383" s="78">
        <v>13</v>
      </c>
      <c r="D1383" s="79">
        <v>0</v>
      </c>
      <c r="G1383" s="83">
        <v>38165</v>
      </c>
      <c r="H1383" s="80">
        <v>0.16666666666666666</v>
      </c>
      <c r="I1383" s="78">
        <v>4</v>
      </c>
      <c r="J1383" s="79">
        <v>0</v>
      </c>
      <c r="M1383" s="83">
        <v>38165</v>
      </c>
      <c r="N1383" s="80">
        <v>0.16666666666666666</v>
      </c>
      <c r="O1383" s="78">
        <v>23</v>
      </c>
      <c r="P1383" s="79">
        <v>3</v>
      </c>
    </row>
    <row r="1384" spans="1:16" ht="12.75">
      <c r="A1384" s="83">
        <v>38165</v>
      </c>
      <c r="B1384" s="80">
        <v>0.20833333333333334</v>
      </c>
      <c r="C1384" s="78">
        <v>19</v>
      </c>
      <c r="D1384" s="79">
        <v>3</v>
      </c>
      <c r="G1384" s="83">
        <v>38165</v>
      </c>
      <c r="H1384" s="80">
        <v>0.20833333333333334</v>
      </c>
      <c r="I1384" s="78">
        <v>0</v>
      </c>
      <c r="J1384" s="79">
        <v>0</v>
      </c>
      <c r="M1384" s="83">
        <v>38165</v>
      </c>
      <c r="N1384" s="80">
        <v>0.20833333333333334</v>
      </c>
      <c r="O1384" s="78">
        <v>31</v>
      </c>
      <c r="P1384" s="79">
        <v>0</v>
      </c>
    </row>
    <row r="1385" spans="1:16" ht="12.75">
      <c r="A1385" s="83">
        <v>38165</v>
      </c>
      <c r="B1385" s="80">
        <v>0.25</v>
      </c>
      <c r="C1385" s="78">
        <v>19</v>
      </c>
      <c r="D1385" s="79">
        <v>3</v>
      </c>
      <c r="G1385" s="83">
        <v>38165</v>
      </c>
      <c r="H1385" s="80">
        <v>0.25</v>
      </c>
      <c r="I1385" s="78">
        <v>0</v>
      </c>
      <c r="J1385" s="79">
        <v>0</v>
      </c>
      <c r="M1385" s="83">
        <v>38165</v>
      </c>
      <c r="N1385" s="80">
        <v>0.25</v>
      </c>
      <c r="O1385" s="78">
        <v>23</v>
      </c>
      <c r="P1385" s="79">
        <v>0</v>
      </c>
    </row>
    <row r="1386" spans="1:16" ht="12.75">
      <c r="A1386" s="83">
        <v>38165</v>
      </c>
      <c r="B1386" s="80">
        <v>0.2916666666666667</v>
      </c>
      <c r="C1386" s="78">
        <v>10</v>
      </c>
      <c r="D1386" s="79">
        <v>3</v>
      </c>
      <c r="G1386" s="83">
        <v>38165</v>
      </c>
      <c r="H1386" s="80">
        <v>0.2916666666666667</v>
      </c>
      <c r="I1386" s="78">
        <v>4</v>
      </c>
      <c r="J1386" s="79">
        <v>3</v>
      </c>
      <c r="M1386" s="83">
        <v>38165</v>
      </c>
      <c r="N1386" s="80">
        <v>0.2916666666666667</v>
      </c>
      <c r="O1386" s="78">
        <v>8</v>
      </c>
      <c r="P1386" s="79">
        <v>0</v>
      </c>
    </row>
    <row r="1387" spans="1:16" ht="12.75">
      <c r="A1387" s="83">
        <v>38165</v>
      </c>
      <c r="B1387" s="80">
        <v>0.3333333333333333</v>
      </c>
      <c r="C1387" s="78">
        <v>8</v>
      </c>
      <c r="D1387" s="79">
        <v>0</v>
      </c>
      <c r="G1387" s="83">
        <v>38165</v>
      </c>
      <c r="H1387" s="80">
        <v>0.3333333333333333</v>
      </c>
      <c r="I1387" s="78">
        <v>6</v>
      </c>
      <c r="J1387" s="79">
        <v>0</v>
      </c>
      <c r="M1387" s="83">
        <v>38165</v>
      </c>
      <c r="N1387" s="80">
        <v>0.3333333333333333</v>
      </c>
      <c r="O1387" s="78">
        <v>17</v>
      </c>
      <c r="P1387" s="79">
        <v>3</v>
      </c>
    </row>
    <row r="1388" spans="1:16" ht="12.75">
      <c r="A1388" s="83">
        <v>38165</v>
      </c>
      <c r="B1388" s="80">
        <v>0.375</v>
      </c>
      <c r="C1388" s="78">
        <v>8</v>
      </c>
      <c r="D1388" s="79">
        <v>3</v>
      </c>
      <c r="G1388" s="83">
        <v>38165</v>
      </c>
      <c r="H1388" s="80">
        <v>0.375</v>
      </c>
      <c r="I1388" s="78">
        <v>4</v>
      </c>
      <c r="J1388" s="79">
        <v>0</v>
      </c>
      <c r="M1388" s="83">
        <v>38165</v>
      </c>
      <c r="N1388" s="80">
        <v>0.375</v>
      </c>
      <c r="O1388" s="78">
        <v>25</v>
      </c>
      <c r="P1388" s="79">
        <v>3</v>
      </c>
    </row>
    <row r="1389" spans="1:16" ht="12.75">
      <c r="A1389" s="83">
        <v>38165</v>
      </c>
      <c r="B1389" s="80">
        <v>0.4166666666666667</v>
      </c>
      <c r="C1389" s="78">
        <v>11</v>
      </c>
      <c r="D1389" s="79">
        <v>0</v>
      </c>
      <c r="G1389" s="83">
        <v>38165</v>
      </c>
      <c r="H1389" s="80">
        <v>0.4166666666666667</v>
      </c>
      <c r="I1389" s="78">
        <v>6</v>
      </c>
      <c r="J1389" s="79">
        <v>0</v>
      </c>
      <c r="M1389" s="83">
        <v>38165</v>
      </c>
      <c r="N1389" s="80">
        <v>0.4166666666666667</v>
      </c>
      <c r="O1389" s="78">
        <v>27</v>
      </c>
      <c r="P1389" s="79">
        <v>3</v>
      </c>
    </row>
    <row r="1390" spans="1:16" ht="12.75">
      <c r="A1390" s="83">
        <v>38165</v>
      </c>
      <c r="B1390" s="80">
        <v>0.4583333333333333</v>
      </c>
      <c r="C1390" s="78">
        <v>13</v>
      </c>
      <c r="D1390" s="79">
        <v>0</v>
      </c>
      <c r="G1390" s="83">
        <v>38165</v>
      </c>
      <c r="H1390" s="80">
        <v>0.4583333333333333</v>
      </c>
      <c r="I1390" s="78">
        <v>6</v>
      </c>
      <c r="J1390" s="79">
        <v>0</v>
      </c>
      <c r="M1390" s="83">
        <v>38165</v>
      </c>
      <c r="N1390" s="80">
        <v>0.4583333333333333</v>
      </c>
      <c r="O1390" s="78">
        <v>34</v>
      </c>
      <c r="P1390" s="79">
        <v>3</v>
      </c>
    </row>
    <row r="1391" spans="1:16" ht="12.75">
      <c r="A1391" s="83">
        <v>38165</v>
      </c>
      <c r="B1391" s="80">
        <v>0.5</v>
      </c>
      <c r="C1391" s="78">
        <v>11</v>
      </c>
      <c r="D1391" s="79">
        <v>3</v>
      </c>
      <c r="G1391" s="83">
        <v>38165</v>
      </c>
      <c r="H1391" s="80">
        <v>0.5</v>
      </c>
      <c r="I1391" s="78">
        <v>2</v>
      </c>
      <c r="J1391" s="79">
        <v>0</v>
      </c>
      <c r="M1391" s="83">
        <v>38165</v>
      </c>
      <c r="N1391" s="80">
        <v>0.5</v>
      </c>
      <c r="O1391" s="78">
        <v>34</v>
      </c>
      <c r="P1391" s="79">
        <v>3</v>
      </c>
    </row>
    <row r="1392" spans="1:16" ht="12.75">
      <c r="A1392" s="83">
        <v>38165</v>
      </c>
      <c r="B1392" s="80">
        <v>0.5416666666666666</v>
      </c>
      <c r="C1392" s="78">
        <v>11</v>
      </c>
      <c r="D1392" s="79">
        <v>3</v>
      </c>
      <c r="G1392" s="83">
        <v>38165</v>
      </c>
      <c r="H1392" s="80">
        <v>0.5416666666666666</v>
      </c>
      <c r="I1392" s="78">
        <v>4</v>
      </c>
      <c r="J1392" s="79">
        <v>0</v>
      </c>
      <c r="M1392" s="83">
        <v>38165</v>
      </c>
      <c r="N1392" s="80">
        <v>0.5416666666666666</v>
      </c>
      <c r="O1392" s="78">
        <v>36</v>
      </c>
      <c r="P1392" s="79">
        <v>3</v>
      </c>
    </row>
    <row r="1393" spans="1:16" ht="12.75">
      <c r="A1393" s="83">
        <v>38165</v>
      </c>
      <c r="B1393" s="80">
        <v>0.5833333333333334</v>
      </c>
      <c r="C1393" s="78">
        <v>13</v>
      </c>
      <c r="D1393" s="79">
        <v>3</v>
      </c>
      <c r="G1393" s="83">
        <v>38165</v>
      </c>
      <c r="H1393" s="80">
        <v>0.5833333333333334</v>
      </c>
      <c r="I1393" s="78">
        <v>2</v>
      </c>
      <c r="J1393" s="79">
        <v>0</v>
      </c>
      <c r="M1393" s="83">
        <v>38165</v>
      </c>
      <c r="N1393" s="80">
        <v>0.5833333333333334</v>
      </c>
      <c r="O1393" s="78">
        <v>40</v>
      </c>
      <c r="P1393" s="79">
        <v>3</v>
      </c>
    </row>
    <row r="1394" spans="1:16" ht="12.75">
      <c r="A1394" s="83">
        <v>38165</v>
      </c>
      <c r="B1394" s="80">
        <v>0.625</v>
      </c>
      <c r="C1394" s="78">
        <v>13</v>
      </c>
      <c r="D1394" s="79">
        <v>0</v>
      </c>
      <c r="G1394" s="83">
        <v>38165</v>
      </c>
      <c r="H1394" s="80">
        <v>0.625</v>
      </c>
      <c r="I1394" s="78">
        <v>2</v>
      </c>
      <c r="J1394" s="79">
        <v>0</v>
      </c>
      <c r="M1394" s="83">
        <v>38165</v>
      </c>
      <c r="N1394" s="80">
        <v>0.625</v>
      </c>
      <c r="O1394" s="78">
        <v>36</v>
      </c>
      <c r="P1394" s="79">
        <v>3</v>
      </c>
    </row>
    <row r="1395" spans="1:16" ht="12.75">
      <c r="A1395" s="83">
        <v>38165</v>
      </c>
      <c r="B1395" s="80">
        <v>0.6666666666666666</v>
      </c>
      <c r="C1395" s="78">
        <v>19</v>
      </c>
      <c r="D1395" s="79">
        <v>0</v>
      </c>
      <c r="G1395" s="83">
        <v>38165</v>
      </c>
      <c r="H1395" s="80">
        <v>0.6666666666666666</v>
      </c>
      <c r="I1395" s="78">
        <v>6</v>
      </c>
      <c r="J1395" s="79">
        <v>0</v>
      </c>
      <c r="M1395" s="83">
        <v>38165</v>
      </c>
      <c r="N1395" s="80">
        <v>0.6666666666666666</v>
      </c>
      <c r="O1395" s="78">
        <v>31</v>
      </c>
      <c r="P1395" s="79">
        <v>0</v>
      </c>
    </row>
    <row r="1396" spans="1:16" ht="12.75">
      <c r="A1396" s="83">
        <v>38165</v>
      </c>
      <c r="B1396" s="80">
        <v>0.7083333333333334</v>
      </c>
      <c r="C1396" s="78">
        <v>11</v>
      </c>
      <c r="D1396" s="79">
        <v>0</v>
      </c>
      <c r="G1396" s="83">
        <v>38165</v>
      </c>
      <c r="H1396" s="80">
        <v>0.7083333333333334</v>
      </c>
      <c r="I1396" s="78">
        <v>17</v>
      </c>
      <c r="J1396" s="79">
        <v>0</v>
      </c>
      <c r="M1396" s="83">
        <v>38165</v>
      </c>
      <c r="N1396" s="80">
        <v>0.7083333333333334</v>
      </c>
      <c r="O1396" s="78">
        <v>46</v>
      </c>
      <c r="P1396" s="79">
        <v>0</v>
      </c>
    </row>
    <row r="1397" spans="1:16" ht="12.75">
      <c r="A1397" s="83">
        <v>38165</v>
      </c>
      <c r="B1397" s="80">
        <v>0.75</v>
      </c>
      <c r="C1397" s="78">
        <v>11</v>
      </c>
      <c r="D1397" s="79">
        <v>0</v>
      </c>
      <c r="G1397" s="83">
        <v>38165</v>
      </c>
      <c r="H1397" s="80">
        <v>0.75</v>
      </c>
      <c r="I1397" s="78">
        <v>15</v>
      </c>
      <c r="J1397" s="79">
        <v>0</v>
      </c>
      <c r="M1397" s="83">
        <v>38165</v>
      </c>
      <c r="N1397" s="80">
        <v>0.75</v>
      </c>
      <c r="O1397" s="78">
        <v>27</v>
      </c>
      <c r="P1397" s="79">
        <v>0</v>
      </c>
    </row>
    <row r="1398" spans="1:16" ht="12.75">
      <c r="A1398" s="83">
        <v>38165</v>
      </c>
      <c r="B1398" s="80">
        <v>0.7916666666666666</v>
      </c>
      <c r="C1398" s="78">
        <v>13</v>
      </c>
      <c r="D1398" s="79">
        <v>0</v>
      </c>
      <c r="G1398" s="83">
        <v>38165</v>
      </c>
      <c r="H1398" s="80">
        <v>0.7916666666666666</v>
      </c>
      <c r="I1398" s="78">
        <v>13</v>
      </c>
      <c r="J1398" s="79">
        <v>0</v>
      </c>
      <c r="M1398" s="83">
        <v>38165</v>
      </c>
      <c r="N1398" s="80">
        <v>0.7916666666666666</v>
      </c>
      <c r="O1398" s="78">
        <v>34</v>
      </c>
      <c r="P1398" s="79">
        <v>0</v>
      </c>
    </row>
    <row r="1399" spans="1:16" ht="12.75">
      <c r="A1399" s="83">
        <v>38165</v>
      </c>
      <c r="B1399" s="80">
        <v>0.8333333333333334</v>
      </c>
      <c r="C1399" s="78">
        <v>13</v>
      </c>
      <c r="D1399" s="79">
        <v>0</v>
      </c>
      <c r="G1399" s="83">
        <v>38165</v>
      </c>
      <c r="H1399" s="80">
        <v>0.8333333333333334</v>
      </c>
      <c r="I1399" s="78">
        <v>15</v>
      </c>
      <c r="J1399" s="79">
        <v>0</v>
      </c>
      <c r="M1399" s="83">
        <v>38165</v>
      </c>
      <c r="N1399" s="80">
        <v>0.8333333333333334</v>
      </c>
      <c r="O1399" s="78">
        <v>50</v>
      </c>
      <c r="P1399" s="79">
        <v>0</v>
      </c>
    </row>
    <row r="1400" spans="1:16" ht="12.75">
      <c r="A1400" s="83">
        <v>38165</v>
      </c>
      <c r="B1400" s="80">
        <v>0.875</v>
      </c>
      <c r="C1400" s="78">
        <v>13</v>
      </c>
      <c r="D1400" s="79">
        <v>0</v>
      </c>
      <c r="G1400" s="83">
        <v>38165</v>
      </c>
      <c r="H1400" s="80">
        <v>0.875</v>
      </c>
      <c r="I1400" s="78">
        <v>17</v>
      </c>
      <c r="J1400" s="79">
        <v>0</v>
      </c>
      <c r="M1400" s="83">
        <v>38165</v>
      </c>
      <c r="N1400" s="80">
        <v>0.875</v>
      </c>
      <c r="O1400" s="78">
        <v>53</v>
      </c>
      <c r="P1400" s="79">
        <v>0</v>
      </c>
    </row>
    <row r="1401" spans="1:16" ht="12.75">
      <c r="A1401" s="83">
        <v>38165</v>
      </c>
      <c r="B1401" s="80">
        <v>0.9166666666666666</v>
      </c>
      <c r="C1401" s="78">
        <v>15</v>
      </c>
      <c r="D1401" s="79">
        <v>0</v>
      </c>
      <c r="G1401" s="83">
        <v>38165</v>
      </c>
      <c r="H1401" s="80">
        <v>0.9166666666666666</v>
      </c>
      <c r="I1401" s="78">
        <v>23</v>
      </c>
      <c r="J1401" s="79">
        <v>0</v>
      </c>
      <c r="M1401" s="83">
        <v>38165</v>
      </c>
      <c r="N1401" s="80">
        <v>0.9166666666666666</v>
      </c>
      <c r="O1401" s="78">
        <v>50</v>
      </c>
      <c r="P1401" s="79">
        <v>0</v>
      </c>
    </row>
    <row r="1402" spans="1:16" ht="12.75">
      <c r="A1402" s="83">
        <v>38165</v>
      </c>
      <c r="B1402" s="80">
        <v>0.9583333333333334</v>
      </c>
      <c r="C1402" s="78">
        <v>15</v>
      </c>
      <c r="D1402" s="79">
        <v>0</v>
      </c>
      <c r="G1402" s="83">
        <v>38165</v>
      </c>
      <c r="H1402" s="80">
        <v>0.9583333333333334</v>
      </c>
      <c r="I1402" s="78">
        <v>19</v>
      </c>
      <c r="J1402" s="79">
        <v>0</v>
      </c>
      <c r="M1402" s="83">
        <v>38165</v>
      </c>
      <c r="N1402" s="80">
        <v>0.9583333333333334</v>
      </c>
      <c r="O1402" s="78">
        <v>48</v>
      </c>
      <c r="P1402" s="79">
        <v>3</v>
      </c>
    </row>
    <row r="1403" spans="1:16" ht="12.75">
      <c r="A1403" s="83">
        <v>38165</v>
      </c>
      <c r="B1403" s="81">
        <v>1</v>
      </c>
      <c r="C1403" s="78">
        <v>27</v>
      </c>
      <c r="D1403" s="79">
        <v>0</v>
      </c>
      <c r="G1403" s="83">
        <v>38165</v>
      </c>
      <c r="H1403" s="81">
        <v>1</v>
      </c>
      <c r="I1403" s="78">
        <v>6</v>
      </c>
      <c r="J1403" s="79">
        <v>0</v>
      </c>
      <c r="M1403" s="83">
        <v>38165</v>
      </c>
      <c r="N1403" s="81">
        <v>1</v>
      </c>
      <c r="O1403" s="78">
        <v>38</v>
      </c>
      <c r="P1403" s="79">
        <v>0</v>
      </c>
    </row>
    <row r="1404" spans="1:16" s="92" customFormat="1" ht="12.75">
      <c r="A1404" s="90">
        <v>38166</v>
      </c>
      <c r="B1404" s="91">
        <v>0.041666666666666664</v>
      </c>
      <c r="C1404" s="92">
        <v>23</v>
      </c>
      <c r="D1404" s="92">
        <v>0</v>
      </c>
      <c r="G1404" s="90">
        <v>38166</v>
      </c>
      <c r="H1404" s="91">
        <v>0.041666666666666664</v>
      </c>
      <c r="I1404" s="92">
        <v>4</v>
      </c>
      <c r="J1404" s="92">
        <v>0</v>
      </c>
      <c r="M1404" s="90">
        <v>38166</v>
      </c>
      <c r="N1404" s="91">
        <v>0.041666666666666664</v>
      </c>
      <c r="O1404" s="92">
        <v>29</v>
      </c>
      <c r="P1404" s="92">
        <v>0</v>
      </c>
    </row>
    <row r="1405" spans="1:16" ht="12.75">
      <c r="A1405" s="83">
        <v>38166</v>
      </c>
      <c r="B1405" s="80">
        <v>0.08333333333333333</v>
      </c>
      <c r="C1405" s="78">
        <v>6</v>
      </c>
      <c r="D1405" s="79">
        <v>0</v>
      </c>
      <c r="G1405" s="83">
        <v>38166</v>
      </c>
      <c r="H1405" s="80">
        <v>0.08333333333333333</v>
      </c>
      <c r="I1405" s="78">
        <v>2</v>
      </c>
      <c r="J1405" s="79">
        <v>0</v>
      </c>
      <c r="M1405" s="83">
        <v>38166</v>
      </c>
      <c r="N1405" s="80">
        <v>0.08333333333333333</v>
      </c>
      <c r="O1405" s="78">
        <v>29</v>
      </c>
      <c r="P1405" s="79">
        <v>0</v>
      </c>
    </row>
    <row r="1406" spans="1:16" ht="12.75">
      <c r="A1406" s="83">
        <v>38166</v>
      </c>
      <c r="B1406" s="80">
        <v>0.125</v>
      </c>
      <c r="C1406" s="78">
        <v>4</v>
      </c>
      <c r="D1406" s="79">
        <v>0</v>
      </c>
      <c r="G1406" s="83">
        <v>38166</v>
      </c>
      <c r="H1406" s="80">
        <v>0.125</v>
      </c>
      <c r="I1406" s="78">
        <v>0</v>
      </c>
      <c r="J1406" s="79">
        <v>0</v>
      </c>
      <c r="M1406" s="83">
        <v>38166</v>
      </c>
      <c r="N1406" s="80">
        <v>0.125</v>
      </c>
      <c r="O1406" s="78">
        <v>23</v>
      </c>
      <c r="P1406" s="79">
        <v>0</v>
      </c>
    </row>
    <row r="1407" spans="1:16" ht="12.75">
      <c r="A1407" s="83">
        <v>38166</v>
      </c>
      <c r="B1407" s="80">
        <v>0.16666666666666666</v>
      </c>
      <c r="C1407" s="78">
        <v>4</v>
      </c>
      <c r="D1407" s="79">
        <v>0</v>
      </c>
      <c r="G1407" s="83">
        <v>38166</v>
      </c>
      <c r="H1407" s="80">
        <v>0.16666666666666666</v>
      </c>
      <c r="I1407" s="78">
        <v>0</v>
      </c>
      <c r="J1407" s="79">
        <v>0</v>
      </c>
      <c r="M1407" s="83">
        <v>38166</v>
      </c>
      <c r="N1407" s="80">
        <v>0.16666666666666666</v>
      </c>
      <c r="O1407" s="78">
        <v>23</v>
      </c>
      <c r="P1407" s="79">
        <v>0</v>
      </c>
    </row>
    <row r="1408" spans="1:16" ht="12.75">
      <c r="A1408" s="83">
        <v>38166</v>
      </c>
      <c r="B1408" s="80">
        <v>0.20833333333333334</v>
      </c>
      <c r="C1408" s="78">
        <v>21</v>
      </c>
      <c r="D1408" s="79">
        <v>0</v>
      </c>
      <c r="G1408" s="83">
        <v>38166</v>
      </c>
      <c r="H1408" s="80">
        <v>0.20833333333333334</v>
      </c>
      <c r="I1408" s="78">
        <v>2</v>
      </c>
      <c r="J1408" s="79">
        <v>0</v>
      </c>
      <c r="M1408" s="83">
        <v>38166</v>
      </c>
      <c r="N1408" s="80">
        <v>0.20833333333333334</v>
      </c>
      <c r="O1408" s="78">
        <v>21</v>
      </c>
      <c r="P1408" s="79">
        <v>0</v>
      </c>
    </row>
    <row r="1409" spans="1:16" ht="12.75">
      <c r="A1409" s="83">
        <v>38166</v>
      </c>
      <c r="B1409" s="80">
        <v>0.25</v>
      </c>
      <c r="C1409" s="78">
        <v>27</v>
      </c>
      <c r="D1409" s="79">
        <v>3</v>
      </c>
      <c r="G1409" s="83">
        <v>38166</v>
      </c>
      <c r="H1409" s="80">
        <v>0.25</v>
      </c>
      <c r="I1409" s="78">
        <v>0</v>
      </c>
      <c r="J1409" s="79">
        <v>0</v>
      </c>
      <c r="M1409" s="83">
        <v>38166</v>
      </c>
      <c r="N1409" s="80">
        <v>0.25</v>
      </c>
      <c r="O1409" s="78">
        <v>21</v>
      </c>
      <c r="P1409" s="79">
        <v>0</v>
      </c>
    </row>
    <row r="1410" spans="1:16" ht="12.75">
      <c r="A1410" s="83">
        <v>38166</v>
      </c>
      <c r="B1410" s="80">
        <v>0.2916666666666667</v>
      </c>
      <c r="C1410" s="78">
        <v>27</v>
      </c>
      <c r="D1410" s="79">
        <v>3</v>
      </c>
      <c r="G1410" s="83">
        <v>38166</v>
      </c>
      <c r="H1410" s="80">
        <v>0.2916666666666667</v>
      </c>
      <c r="I1410" s="78">
        <v>6</v>
      </c>
      <c r="J1410" s="79">
        <v>0</v>
      </c>
      <c r="M1410" s="83">
        <v>38166</v>
      </c>
      <c r="N1410" s="80">
        <v>0.2916666666666667</v>
      </c>
      <c r="O1410" s="78">
        <v>21</v>
      </c>
      <c r="P1410" s="79">
        <v>3</v>
      </c>
    </row>
    <row r="1411" spans="1:16" ht="12.75">
      <c r="A1411" s="83">
        <v>38166</v>
      </c>
      <c r="B1411" s="80">
        <v>0.3333333333333333</v>
      </c>
      <c r="C1411" s="78">
        <v>32</v>
      </c>
      <c r="D1411" s="79">
        <v>3</v>
      </c>
      <c r="G1411" s="83">
        <v>38166</v>
      </c>
      <c r="H1411" s="80">
        <v>0.3333333333333333</v>
      </c>
      <c r="I1411" s="78">
        <v>29</v>
      </c>
      <c r="J1411" s="79">
        <v>0</v>
      </c>
      <c r="M1411" s="83">
        <v>38166</v>
      </c>
      <c r="N1411" s="80">
        <v>0.3333333333333333</v>
      </c>
      <c r="O1411" s="78">
        <v>23</v>
      </c>
      <c r="P1411" s="79">
        <v>3</v>
      </c>
    </row>
    <row r="1412" spans="1:16" ht="12.75">
      <c r="A1412" s="83">
        <v>38166</v>
      </c>
      <c r="B1412" s="80">
        <v>0.375</v>
      </c>
      <c r="C1412" s="78">
        <v>31</v>
      </c>
      <c r="D1412" s="79">
        <v>3</v>
      </c>
      <c r="G1412" s="83">
        <v>38166</v>
      </c>
      <c r="H1412" s="80">
        <v>0.375</v>
      </c>
      <c r="I1412" s="78">
        <v>25</v>
      </c>
      <c r="J1412" s="79">
        <v>0</v>
      </c>
      <c r="M1412" s="83">
        <v>38166</v>
      </c>
      <c r="N1412" s="80">
        <v>0.375</v>
      </c>
      <c r="O1412" s="78">
        <v>29</v>
      </c>
      <c r="P1412" s="79">
        <v>3</v>
      </c>
    </row>
    <row r="1413" spans="1:16" ht="12.75">
      <c r="A1413" s="83">
        <v>38166</v>
      </c>
      <c r="B1413" s="80">
        <v>0.4166666666666667</v>
      </c>
      <c r="C1413" s="78">
        <v>25</v>
      </c>
      <c r="D1413" s="79">
        <v>3</v>
      </c>
      <c r="G1413" s="83">
        <v>38166</v>
      </c>
      <c r="H1413" s="80">
        <v>0.4166666666666667</v>
      </c>
      <c r="I1413" s="78">
        <v>25</v>
      </c>
      <c r="J1413" s="79">
        <v>0</v>
      </c>
      <c r="M1413" s="83">
        <v>38166</v>
      </c>
      <c r="N1413" s="80">
        <v>0.4166666666666667</v>
      </c>
      <c r="O1413" s="78">
        <v>40</v>
      </c>
      <c r="P1413" s="79">
        <v>5</v>
      </c>
    </row>
    <row r="1414" spans="1:16" ht="12.75">
      <c r="A1414" s="83">
        <v>38166</v>
      </c>
      <c r="B1414" s="80">
        <v>0.4583333333333333</v>
      </c>
      <c r="C1414" s="78">
        <v>23</v>
      </c>
      <c r="D1414" s="79">
        <v>0</v>
      </c>
      <c r="G1414" s="83">
        <v>38166</v>
      </c>
      <c r="H1414" s="80">
        <v>0.4583333333333333</v>
      </c>
      <c r="I1414" s="78">
        <v>25</v>
      </c>
      <c r="J1414" s="79">
        <v>0</v>
      </c>
      <c r="M1414" s="83">
        <v>38166</v>
      </c>
      <c r="N1414" s="80">
        <v>0.4583333333333333</v>
      </c>
      <c r="O1414" s="78">
        <v>42</v>
      </c>
      <c r="P1414" s="79">
        <v>3</v>
      </c>
    </row>
    <row r="1415" spans="1:16" ht="12.75">
      <c r="A1415" s="83">
        <v>38166</v>
      </c>
      <c r="B1415" s="80">
        <v>0.5</v>
      </c>
      <c r="C1415" s="78">
        <v>19</v>
      </c>
      <c r="D1415" s="79">
        <v>0</v>
      </c>
      <c r="G1415" s="83">
        <v>38166</v>
      </c>
      <c r="H1415" s="80">
        <v>0.5</v>
      </c>
      <c r="I1415" s="78">
        <v>21</v>
      </c>
      <c r="J1415" s="79">
        <v>0</v>
      </c>
      <c r="M1415" s="83">
        <v>38166</v>
      </c>
      <c r="N1415" s="80">
        <v>0.5</v>
      </c>
      <c r="O1415" s="78">
        <v>36</v>
      </c>
      <c r="P1415" s="79">
        <v>0</v>
      </c>
    </row>
    <row r="1416" spans="1:16" ht="12.75">
      <c r="A1416" s="83">
        <v>38166</v>
      </c>
      <c r="B1416" s="80">
        <v>0.5416666666666666</v>
      </c>
      <c r="C1416" s="78">
        <v>19</v>
      </c>
      <c r="D1416" s="79">
        <v>3</v>
      </c>
      <c r="G1416" s="83">
        <v>38166</v>
      </c>
      <c r="H1416" s="80">
        <v>0.5416666666666666</v>
      </c>
      <c r="I1416" s="78">
        <v>19</v>
      </c>
      <c r="J1416" s="79">
        <v>0</v>
      </c>
      <c r="M1416" s="83">
        <v>38166</v>
      </c>
      <c r="N1416" s="80">
        <v>0.5416666666666666</v>
      </c>
      <c r="O1416" s="78">
        <v>38</v>
      </c>
      <c r="P1416" s="79">
        <v>3</v>
      </c>
    </row>
    <row r="1417" spans="1:16" ht="12.75">
      <c r="A1417" s="83">
        <v>38166</v>
      </c>
      <c r="B1417" s="80">
        <v>0.5833333333333334</v>
      </c>
      <c r="C1417" s="78">
        <v>15</v>
      </c>
      <c r="D1417" s="79">
        <v>0</v>
      </c>
      <c r="G1417" s="83">
        <v>38166</v>
      </c>
      <c r="H1417" s="80">
        <v>0.5833333333333334</v>
      </c>
      <c r="I1417" s="78">
        <v>19</v>
      </c>
      <c r="J1417" s="79">
        <v>0</v>
      </c>
      <c r="M1417" s="83">
        <v>38166</v>
      </c>
      <c r="N1417" s="80">
        <v>0.5833333333333334</v>
      </c>
      <c r="O1417" s="78">
        <v>38</v>
      </c>
      <c r="P1417" s="79">
        <v>3</v>
      </c>
    </row>
    <row r="1418" spans="1:16" ht="12.75">
      <c r="A1418" s="83">
        <v>38166</v>
      </c>
      <c r="B1418" s="80">
        <v>0.625</v>
      </c>
      <c r="C1418" s="78">
        <v>13</v>
      </c>
      <c r="D1418" s="79">
        <v>0</v>
      </c>
      <c r="G1418" s="83">
        <v>38166</v>
      </c>
      <c r="H1418" s="80">
        <v>0.625</v>
      </c>
      <c r="I1418" s="78">
        <v>15</v>
      </c>
      <c r="J1418" s="79">
        <v>0</v>
      </c>
      <c r="M1418" s="83">
        <v>38166</v>
      </c>
      <c r="N1418" s="80">
        <v>0.625</v>
      </c>
      <c r="O1418" s="78">
        <v>27</v>
      </c>
      <c r="P1418" s="79">
        <v>3</v>
      </c>
    </row>
    <row r="1419" spans="1:16" ht="12.75">
      <c r="A1419" s="83">
        <v>38166</v>
      </c>
      <c r="B1419" s="80">
        <v>0.6666666666666666</v>
      </c>
      <c r="C1419" s="78">
        <v>17</v>
      </c>
      <c r="D1419" s="79">
        <v>0</v>
      </c>
      <c r="G1419" s="83">
        <v>38166</v>
      </c>
      <c r="H1419" s="80">
        <v>0.6666666666666666</v>
      </c>
      <c r="I1419" s="78">
        <v>17</v>
      </c>
      <c r="J1419" s="79">
        <v>0</v>
      </c>
      <c r="M1419" s="83">
        <v>38166</v>
      </c>
      <c r="N1419" s="80">
        <v>0.6666666666666666</v>
      </c>
      <c r="O1419" s="78">
        <v>46</v>
      </c>
      <c r="P1419" s="79">
        <v>3</v>
      </c>
    </row>
    <row r="1420" spans="1:16" ht="12.75">
      <c r="A1420" s="83">
        <v>38166</v>
      </c>
      <c r="B1420" s="80">
        <v>0.7083333333333334</v>
      </c>
      <c r="C1420" s="78">
        <v>17</v>
      </c>
      <c r="D1420" s="79">
        <v>0</v>
      </c>
      <c r="G1420" s="83">
        <v>38166</v>
      </c>
      <c r="H1420" s="80">
        <v>0.7083333333333334</v>
      </c>
      <c r="I1420" s="78">
        <v>19</v>
      </c>
      <c r="J1420" s="79">
        <v>0</v>
      </c>
      <c r="M1420" s="83">
        <v>38166</v>
      </c>
      <c r="N1420" s="80">
        <v>0.7083333333333334</v>
      </c>
      <c r="O1420" s="78">
        <v>42</v>
      </c>
      <c r="P1420" s="79">
        <v>0</v>
      </c>
    </row>
    <row r="1421" spans="1:16" ht="12.75">
      <c r="A1421" s="83">
        <v>38166</v>
      </c>
      <c r="B1421" s="80">
        <v>0.75</v>
      </c>
      <c r="C1421" s="78">
        <v>15</v>
      </c>
      <c r="D1421" s="79">
        <v>0</v>
      </c>
      <c r="G1421" s="83">
        <v>38166</v>
      </c>
      <c r="H1421" s="80">
        <v>0.75</v>
      </c>
      <c r="I1421" s="78">
        <v>21</v>
      </c>
      <c r="J1421" s="79">
        <v>0</v>
      </c>
      <c r="M1421" s="83">
        <v>38166</v>
      </c>
      <c r="N1421" s="80">
        <v>0.75</v>
      </c>
      <c r="O1421" s="78">
        <v>44</v>
      </c>
      <c r="P1421" s="79">
        <v>3</v>
      </c>
    </row>
    <row r="1422" spans="1:16" ht="12.75">
      <c r="A1422" s="83">
        <v>38166</v>
      </c>
      <c r="B1422" s="80">
        <v>0.7916666666666666</v>
      </c>
      <c r="C1422" s="78">
        <v>17</v>
      </c>
      <c r="D1422" s="79">
        <v>0</v>
      </c>
      <c r="G1422" s="83">
        <v>38166</v>
      </c>
      <c r="H1422" s="80">
        <v>0.7916666666666666</v>
      </c>
      <c r="I1422" s="78">
        <v>17</v>
      </c>
      <c r="J1422" s="79">
        <v>0</v>
      </c>
      <c r="M1422" s="83">
        <v>38166</v>
      </c>
      <c r="N1422" s="80">
        <v>0.7916666666666666</v>
      </c>
      <c r="O1422" s="78">
        <v>55</v>
      </c>
      <c r="P1422" s="79">
        <v>3</v>
      </c>
    </row>
    <row r="1423" spans="1:16" ht="12.75">
      <c r="A1423" s="83">
        <v>38166</v>
      </c>
      <c r="B1423" s="80">
        <v>0.8333333333333334</v>
      </c>
      <c r="C1423" s="78">
        <v>21</v>
      </c>
      <c r="D1423" s="79">
        <v>0</v>
      </c>
      <c r="G1423" s="83">
        <v>38166</v>
      </c>
      <c r="H1423" s="80">
        <v>0.8333333333333334</v>
      </c>
      <c r="I1423" s="78">
        <v>13</v>
      </c>
      <c r="J1423" s="79">
        <v>0</v>
      </c>
      <c r="M1423" s="83">
        <v>38166</v>
      </c>
      <c r="N1423" s="80">
        <v>0.8333333333333334</v>
      </c>
      <c r="O1423" s="78">
        <v>59</v>
      </c>
      <c r="P1423" s="79">
        <v>3</v>
      </c>
    </row>
    <row r="1424" spans="1:16" ht="12.75">
      <c r="A1424" s="83">
        <v>38166</v>
      </c>
      <c r="B1424" s="80">
        <v>0.875</v>
      </c>
      <c r="C1424" s="78">
        <v>15</v>
      </c>
      <c r="D1424" s="79">
        <v>0</v>
      </c>
      <c r="G1424" s="83">
        <v>38166</v>
      </c>
      <c r="H1424" s="80">
        <v>0.875</v>
      </c>
      <c r="I1424" s="78">
        <v>15</v>
      </c>
      <c r="J1424" s="79">
        <v>0</v>
      </c>
      <c r="M1424" s="83">
        <v>38166</v>
      </c>
      <c r="N1424" s="80">
        <v>0.875</v>
      </c>
      <c r="O1424" s="78">
        <v>69</v>
      </c>
      <c r="P1424" s="79">
        <v>3</v>
      </c>
    </row>
    <row r="1425" spans="1:16" ht="12.75">
      <c r="A1425" s="83">
        <v>38166</v>
      </c>
      <c r="B1425" s="80">
        <v>0.9166666666666666</v>
      </c>
      <c r="C1425" s="78">
        <v>13</v>
      </c>
      <c r="D1425" s="79">
        <v>0</v>
      </c>
      <c r="G1425" s="83">
        <v>38166</v>
      </c>
      <c r="H1425" s="80">
        <v>0.9166666666666666</v>
      </c>
      <c r="I1425" s="78">
        <v>15</v>
      </c>
      <c r="J1425" s="79">
        <v>0</v>
      </c>
      <c r="M1425" s="83">
        <v>38166</v>
      </c>
      <c r="N1425" s="80">
        <v>0.9166666666666666</v>
      </c>
      <c r="O1425" s="78">
        <v>63</v>
      </c>
      <c r="P1425" s="79">
        <v>3</v>
      </c>
    </row>
    <row r="1426" spans="1:16" ht="12.75">
      <c r="A1426" s="83">
        <v>38166</v>
      </c>
      <c r="B1426" s="80">
        <v>0.9583333333333334</v>
      </c>
      <c r="C1426" s="78">
        <v>15</v>
      </c>
      <c r="D1426" s="79">
        <v>0</v>
      </c>
      <c r="G1426" s="83">
        <v>38166</v>
      </c>
      <c r="H1426" s="80">
        <v>0.9583333333333334</v>
      </c>
      <c r="I1426" s="78">
        <v>15</v>
      </c>
      <c r="J1426" s="79">
        <v>0</v>
      </c>
      <c r="M1426" s="83">
        <v>38166</v>
      </c>
      <c r="N1426" s="80">
        <v>0.9583333333333334</v>
      </c>
      <c r="O1426" s="78">
        <v>63</v>
      </c>
      <c r="P1426" s="79">
        <v>3</v>
      </c>
    </row>
    <row r="1427" spans="1:16" ht="12.75">
      <c r="A1427" s="83">
        <v>38166</v>
      </c>
      <c r="B1427" s="81">
        <v>1</v>
      </c>
      <c r="C1427" s="78">
        <v>11</v>
      </c>
      <c r="D1427" s="79">
        <v>0</v>
      </c>
      <c r="G1427" s="83">
        <v>38166</v>
      </c>
      <c r="H1427" s="81">
        <v>1</v>
      </c>
      <c r="I1427" s="78">
        <v>13</v>
      </c>
      <c r="J1427" s="79">
        <v>0</v>
      </c>
      <c r="M1427" s="83">
        <v>38166</v>
      </c>
      <c r="N1427" s="81">
        <v>1</v>
      </c>
      <c r="O1427" s="78">
        <v>52</v>
      </c>
      <c r="P1427" s="79">
        <v>3</v>
      </c>
    </row>
    <row r="1428" spans="1:16" s="92" customFormat="1" ht="12.75">
      <c r="A1428" s="90">
        <v>38167</v>
      </c>
      <c r="B1428" s="91">
        <v>0.041666666666666664</v>
      </c>
      <c r="C1428" s="92">
        <v>11</v>
      </c>
      <c r="D1428" s="92">
        <v>0</v>
      </c>
      <c r="G1428" s="90">
        <v>38167</v>
      </c>
      <c r="H1428" s="91">
        <v>0.041666666666666664</v>
      </c>
      <c r="I1428" s="92">
        <v>10</v>
      </c>
      <c r="J1428" s="92">
        <v>0</v>
      </c>
      <c r="M1428" s="90">
        <v>38167</v>
      </c>
      <c r="N1428" s="91">
        <v>0.041666666666666664</v>
      </c>
      <c r="O1428" s="92">
        <v>44</v>
      </c>
      <c r="P1428" s="92">
        <v>3</v>
      </c>
    </row>
    <row r="1429" spans="1:16" ht="12.75">
      <c r="A1429" s="83">
        <v>38167</v>
      </c>
      <c r="B1429" s="80">
        <v>0.08333333333333333</v>
      </c>
      <c r="C1429" s="78">
        <v>11</v>
      </c>
      <c r="D1429" s="79">
        <v>0</v>
      </c>
      <c r="G1429" s="83">
        <v>38167</v>
      </c>
      <c r="H1429" s="80">
        <v>0.08333333333333333</v>
      </c>
      <c r="I1429" s="78">
        <v>8</v>
      </c>
      <c r="J1429" s="79">
        <v>0</v>
      </c>
      <c r="M1429" s="83">
        <v>38167</v>
      </c>
      <c r="N1429" s="80">
        <v>0.08333333333333333</v>
      </c>
      <c r="O1429" s="78">
        <v>44</v>
      </c>
      <c r="P1429" s="79">
        <v>3</v>
      </c>
    </row>
    <row r="1430" spans="1:16" ht="12.75">
      <c r="A1430" s="83">
        <v>38167</v>
      </c>
      <c r="B1430" s="80">
        <v>0.125</v>
      </c>
      <c r="C1430" s="78">
        <v>10</v>
      </c>
      <c r="D1430" s="79">
        <v>0</v>
      </c>
      <c r="G1430" s="83">
        <v>38167</v>
      </c>
      <c r="H1430" s="80">
        <v>0.125</v>
      </c>
      <c r="I1430" s="78">
        <v>8</v>
      </c>
      <c r="J1430" s="79">
        <v>0</v>
      </c>
      <c r="M1430" s="83">
        <v>38167</v>
      </c>
      <c r="N1430" s="80">
        <v>0.125</v>
      </c>
      <c r="O1430" s="78">
        <v>40</v>
      </c>
      <c r="P1430" s="79">
        <v>3</v>
      </c>
    </row>
    <row r="1431" spans="1:16" ht="12.75">
      <c r="A1431" s="83">
        <v>38167</v>
      </c>
      <c r="B1431" s="80">
        <v>0.16666666666666666</v>
      </c>
      <c r="C1431" s="78">
        <v>11</v>
      </c>
      <c r="D1431" s="79">
        <v>0</v>
      </c>
      <c r="G1431" s="83">
        <v>38167</v>
      </c>
      <c r="H1431" s="80">
        <v>0.16666666666666666</v>
      </c>
      <c r="I1431" s="78">
        <v>6</v>
      </c>
      <c r="J1431" s="79">
        <v>0</v>
      </c>
      <c r="M1431" s="83">
        <v>38167</v>
      </c>
      <c r="N1431" s="80">
        <v>0.16666666666666666</v>
      </c>
      <c r="O1431" s="78">
        <v>44</v>
      </c>
      <c r="P1431" s="79">
        <v>0</v>
      </c>
    </row>
    <row r="1432" spans="1:16" ht="12.75">
      <c r="A1432" s="83">
        <v>38167</v>
      </c>
      <c r="B1432" s="80">
        <v>0.20833333333333334</v>
      </c>
      <c r="C1432" s="78">
        <v>15</v>
      </c>
      <c r="D1432" s="79">
        <v>0</v>
      </c>
      <c r="G1432" s="83">
        <v>38167</v>
      </c>
      <c r="H1432" s="80">
        <v>0.20833333333333334</v>
      </c>
      <c r="I1432" s="78">
        <v>11</v>
      </c>
      <c r="J1432" s="79">
        <v>0</v>
      </c>
      <c r="M1432" s="83">
        <v>38167</v>
      </c>
      <c r="N1432" s="80">
        <v>0.20833333333333334</v>
      </c>
      <c r="O1432" s="78">
        <v>52</v>
      </c>
      <c r="P1432" s="79">
        <v>3</v>
      </c>
    </row>
    <row r="1433" spans="1:16" ht="12.75">
      <c r="A1433" s="83">
        <v>38167</v>
      </c>
      <c r="B1433" s="80">
        <v>0.25</v>
      </c>
      <c r="C1433" s="78">
        <v>17</v>
      </c>
      <c r="D1433" s="79">
        <v>0</v>
      </c>
      <c r="G1433" s="83">
        <v>38167</v>
      </c>
      <c r="H1433" s="80">
        <v>0.25</v>
      </c>
      <c r="I1433" s="78">
        <v>21</v>
      </c>
      <c r="J1433" s="79">
        <v>0</v>
      </c>
      <c r="M1433" s="83">
        <v>38167</v>
      </c>
      <c r="N1433" s="80">
        <v>0.25</v>
      </c>
      <c r="O1433" s="78">
        <v>63</v>
      </c>
      <c r="P1433" s="79">
        <v>3</v>
      </c>
    </row>
    <row r="1434" spans="1:16" ht="12.75">
      <c r="A1434" s="83">
        <v>38167</v>
      </c>
      <c r="B1434" s="80">
        <v>0.2916666666666667</v>
      </c>
      <c r="C1434" s="78">
        <v>25</v>
      </c>
      <c r="D1434" s="79">
        <v>0</v>
      </c>
      <c r="G1434" s="83">
        <v>38167</v>
      </c>
      <c r="H1434" s="80">
        <v>0.2916666666666667</v>
      </c>
      <c r="I1434" s="78">
        <v>29</v>
      </c>
      <c r="J1434" s="79">
        <v>0</v>
      </c>
      <c r="M1434" s="83">
        <v>38167</v>
      </c>
      <c r="N1434" s="80">
        <v>0.2916666666666667</v>
      </c>
      <c r="O1434" s="78">
        <v>52</v>
      </c>
      <c r="P1434" s="79">
        <v>3</v>
      </c>
    </row>
    <row r="1435" spans="1:16" ht="12.75">
      <c r="A1435" s="83">
        <v>38167</v>
      </c>
      <c r="B1435" s="80">
        <v>0.3333333333333333</v>
      </c>
      <c r="C1435" s="78">
        <v>29</v>
      </c>
      <c r="D1435" s="79">
        <v>3</v>
      </c>
      <c r="G1435" s="83">
        <v>38167</v>
      </c>
      <c r="H1435" s="80">
        <v>0.3333333333333333</v>
      </c>
      <c r="I1435" s="78">
        <v>32</v>
      </c>
      <c r="J1435" s="79">
        <v>0</v>
      </c>
      <c r="M1435" s="83">
        <v>38167</v>
      </c>
      <c r="N1435" s="80">
        <v>0.3333333333333333</v>
      </c>
      <c r="O1435" s="78">
        <v>34</v>
      </c>
      <c r="P1435" s="79">
        <v>3</v>
      </c>
    </row>
    <row r="1436" spans="1:14" ht="12.75">
      <c r="A1436" s="83">
        <v>38167</v>
      </c>
      <c r="B1436" s="80">
        <v>0.375</v>
      </c>
      <c r="C1436" s="78">
        <v>29</v>
      </c>
      <c r="D1436" s="79">
        <v>0</v>
      </c>
      <c r="G1436" s="83">
        <v>38167</v>
      </c>
      <c r="H1436" s="80">
        <v>0.375</v>
      </c>
      <c r="I1436" s="78">
        <v>27</v>
      </c>
      <c r="J1436" s="79">
        <v>0</v>
      </c>
      <c r="M1436" s="83">
        <v>38167</v>
      </c>
      <c r="N1436" s="80">
        <v>0.375</v>
      </c>
    </row>
    <row r="1437" spans="1:16" ht="12.75">
      <c r="A1437" s="83">
        <v>38167</v>
      </c>
      <c r="B1437" s="80">
        <v>0.4166666666666667</v>
      </c>
      <c r="C1437" s="78">
        <v>23</v>
      </c>
      <c r="D1437" s="79">
        <v>0</v>
      </c>
      <c r="G1437" s="83">
        <v>38167</v>
      </c>
      <c r="H1437" s="80">
        <v>0.4166666666666667</v>
      </c>
      <c r="I1437" s="78">
        <v>21</v>
      </c>
      <c r="J1437" s="79">
        <v>0</v>
      </c>
      <c r="M1437" s="83">
        <v>38167</v>
      </c>
      <c r="N1437" s="80">
        <v>0.4166666666666667</v>
      </c>
      <c r="P1437" s="79">
        <v>3</v>
      </c>
    </row>
    <row r="1438" spans="1:16" ht="12.75">
      <c r="A1438" s="83">
        <v>38167</v>
      </c>
      <c r="B1438" s="80">
        <v>0.4583333333333333</v>
      </c>
      <c r="C1438" s="78">
        <v>21</v>
      </c>
      <c r="D1438" s="79">
        <v>3</v>
      </c>
      <c r="G1438" s="83">
        <v>38167</v>
      </c>
      <c r="H1438" s="80">
        <v>0.4583333333333333</v>
      </c>
      <c r="I1438" s="78">
        <v>21</v>
      </c>
      <c r="J1438" s="79">
        <v>0</v>
      </c>
      <c r="M1438" s="83">
        <v>38167</v>
      </c>
      <c r="N1438" s="80">
        <v>0.4583333333333333</v>
      </c>
      <c r="O1438" s="78">
        <v>38</v>
      </c>
      <c r="P1438" s="79">
        <v>3</v>
      </c>
    </row>
    <row r="1439" spans="1:16" ht="12.75">
      <c r="A1439" s="83">
        <v>38167</v>
      </c>
      <c r="B1439" s="80">
        <v>0.5</v>
      </c>
      <c r="C1439" s="78">
        <v>15</v>
      </c>
      <c r="D1439" s="79">
        <v>0</v>
      </c>
      <c r="G1439" s="83">
        <v>38167</v>
      </c>
      <c r="H1439" s="80">
        <v>0.5</v>
      </c>
      <c r="I1439" s="78">
        <v>23</v>
      </c>
      <c r="J1439" s="79">
        <v>3</v>
      </c>
      <c r="M1439" s="83">
        <v>38167</v>
      </c>
      <c r="N1439" s="80">
        <v>0.5</v>
      </c>
      <c r="O1439" s="78">
        <v>46</v>
      </c>
      <c r="P1439" s="79">
        <v>3</v>
      </c>
    </row>
    <row r="1440" spans="1:16" ht="12.75">
      <c r="A1440" s="83">
        <v>38167</v>
      </c>
      <c r="B1440" s="80">
        <v>0.5416666666666666</v>
      </c>
      <c r="C1440" s="78">
        <v>17</v>
      </c>
      <c r="D1440" s="79">
        <v>0</v>
      </c>
      <c r="G1440" s="83">
        <v>38167</v>
      </c>
      <c r="H1440" s="80">
        <v>0.5416666666666666</v>
      </c>
      <c r="I1440" s="78">
        <v>17</v>
      </c>
      <c r="J1440" s="79">
        <v>0</v>
      </c>
      <c r="M1440" s="83">
        <v>38167</v>
      </c>
      <c r="N1440" s="80">
        <v>0.5416666666666666</v>
      </c>
      <c r="O1440" s="78">
        <v>50</v>
      </c>
      <c r="P1440" s="79">
        <v>3</v>
      </c>
    </row>
    <row r="1441" spans="1:16" ht="12.75">
      <c r="A1441" s="83">
        <v>38167</v>
      </c>
      <c r="B1441" s="80">
        <v>0.5833333333333334</v>
      </c>
      <c r="C1441" s="78">
        <v>13</v>
      </c>
      <c r="D1441" s="79">
        <v>0</v>
      </c>
      <c r="G1441" s="83">
        <v>38167</v>
      </c>
      <c r="H1441" s="80">
        <v>0.5833333333333334</v>
      </c>
      <c r="I1441" s="78">
        <v>13</v>
      </c>
      <c r="J1441" s="79">
        <v>0</v>
      </c>
      <c r="M1441" s="83">
        <v>38167</v>
      </c>
      <c r="N1441" s="80">
        <v>0.5833333333333334</v>
      </c>
      <c r="O1441" s="78">
        <v>53</v>
      </c>
      <c r="P1441" s="79">
        <v>3</v>
      </c>
    </row>
    <row r="1442" spans="1:16" ht="12.75">
      <c r="A1442" s="83">
        <v>38167</v>
      </c>
      <c r="B1442" s="80">
        <v>0.625</v>
      </c>
      <c r="C1442" s="78">
        <v>11</v>
      </c>
      <c r="D1442" s="79">
        <v>0</v>
      </c>
      <c r="G1442" s="83">
        <v>38167</v>
      </c>
      <c r="H1442" s="80">
        <v>0.625</v>
      </c>
      <c r="I1442" s="78">
        <v>11</v>
      </c>
      <c r="J1442" s="79">
        <v>0</v>
      </c>
      <c r="M1442" s="83">
        <v>38167</v>
      </c>
      <c r="N1442" s="80">
        <v>0.625</v>
      </c>
      <c r="O1442" s="78">
        <v>52</v>
      </c>
      <c r="P1442" s="79">
        <v>3</v>
      </c>
    </row>
    <row r="1443" spans="1:16" ht="12.75">
      <c r="A1443" s="83">
        <v>38167</v>
      </c>
      <c r="B1443" s="80">
        <v>0.6666666666666666</v>
      </c>
      <c r="C1443" s="78">
        <v>17</v>
      </c>
      <c r="D1443" s="79">
        <v>0</v>
      </c>
      <c r="G1443" s="83">
        <v>38167</v>
      </c>
      <c r="H1443" s="80">
        <v>0.6666666666666666</v>
      </c>
      <c r="I1443" s="78">
        <v>15</v>
      </c>
      <c r="J1443" s="79">
        <v>0</v>
      </c>
      <c r="M1443" s="83">
        <v>38167</v>
      </c>
      <c r="N1443" s="80">
        <v>0.6666666666666666</v>
      </c>
      <c r="O1443" s="78">
        <v>50</v>
      </c>
      <c r="P1443" s="79">
        <v>3</v>
      </c>
    </row>
    <row r="1444" spans="1:16" ht="12.75">
      <c r="A1444" s="83">
        <v>38167</v>
      </c>
      <c r="B1444" s="80">
        <v>0.7083333333333334</v>
      </c>
      <c r="C1444" s="78">
        <v>19</v>
      </c>
      <c r="D1444" s="79">
        <v>0</v>
      </c>
      <c r="G1444" s="83">
        <v>38167</v>
      </c>
      <c r="H1444" s="80">
        <v>0.7083333333333334</v>
      </c>
      <c r="I1444" s="78">
        <v>19</v>
      </c>
      <c r="J1444" s="79">
        <v>0</v>
      </c>
      <c r="M1444" s="83">
        <v>38167</v>
      </c>
      <c r="N1444" s="80">
        <v>0.7083333333333334</v>
      </c>
      <c r="O1444" s="78">
        <v>65</v>
      </c>
      <c r="P1444" s="79">
        <v>3</v>
      </c>
    </row>
    <row r="1445" spans="1:16" ht="12.75">
      <c r="A1445" s="83">
        <v>38167</v>
      </c>
      <c r="B1445" s="80">
        <v>0.75</v>
      </c>
      <c r="C1445" s="78">
        <v>17</v>
      </c>
      <c r="D1445" s="79">
        <v>0</v>
      </c>
      <c r="G1445" s="83">
        <v>38167</v>
      </c>
      <c r="H1445" s="80">
        <v>0.75</v>
      </c>
      <c r="I1445" s="78">
        <v>19</v>
      </c>
      <c r="J1445" s="79">
        <v>0</v>
      </c>
      <c r="M1445" s="83">
        <v>38167</v>
      </c>
      <c r="N1445" s="80">
        <v>0.75</v>
      </c>
      <c r="O1445" s="78">
        <v>71</v>
      </c>
      <c r="P1445" s="79">
        <v>3</v>
      </c>
    </row>
    <row r="1446" spans="1:16" ht="12.75">
      <c r="A1446" s="83">
        <v>38167</v>
      </c>
      <c r="B1446" s="80">
        <v>0.7916666666666666</v>
      </c>
      <c r="C1446" s="78">
        <v>11</v>
      </c>
      <c r="D1446" s="79">
        <v>0</v>
      </c>
      <c r="G1446" s="83">
        <v>38167</v>
      </c>
      <c r="H1446" s="80">
        <v>0.7916666666666666</v>
      </c>
      <c r="I1446" s="78">
        <v>13</v>
      </c>
      <c r="J1446" s="79">
        <v>0</v>
      </c>
      <c r="M1446" s="83">
        <v>38167</v>
      </c>
      <c r="N1446" s="80">
        <v>0.7916666666666666</v>
      </c>
      <c r="O1446" s="78">
        <v>71</v>
      </c>
      <c r="P1446" s="79">
        <v>5</v>
      </c>
    </row>
    <row r="1447" spans="1:16" ht="12.75">
      <c r="A1447" s="83">
        <v>38167</v>
      </c>
      <c r="B1447" s="80">
        <v>0.8333333333333334</v>
      </c>
      <c r="C1447" s="78">
        <v>13</v>
      </c>
      <c r="D1447" s="79">
        <v>0</v>
      </c>
      <c r="G1447" s="83">
        <v>38167</v>
      </c>
      <c r="H1447" s="80">
        <v>0.8333333333333334</v>
      </c>
      <c r="I1447" s="78">
        <v>13</v>
      </c>
      <c r="J1447" s="79">
        <v>0</v>
      </c>
      <c r="M1447" s="83">
        <v>38167</v>
      </c>
      <c r="N1447" s="80">
        <v>0.8333333333333334</v>
      </c>
      <c r="O1447" s="78">
        <v>63</v>
      </c>
      <c r="P1447" s="79">
        <v>3</v>
      </c>
    </row>
    <row r="1448" spans="1:16" ht="12.75">
      <c r="A1448" s="83">
        <v>38167</v>
      </c>
      <c r="B1448" s="80">
        <v>0.875</v>
      </c>
      <c r="C1448" s="78">
        <v>13</v>
      </c>
      <c r="D1448" s="79">
        <v>0</v>
      </c>
      <c r="G1448" s="83">
        <v>38167</v>
      </c>
      <c r="H1448" s="80">
        <v>0.875</v>
      </c>
      <c r="I1448" s="78">
        <v>11</v>
      </c>
      <c r="J1448" s="79">
        <v>0</v>
      </c>
      <c r="M1448" s="83">
        <v>38167</v>
      </c>
      <c r="N1448" s="80">
        <v>0.875</v>
      </c>
      <c r="O1448" s="78">
        <v>53</v>
      </c>
      <c r="P1448" s="79">
        <v>3</v>
      </c>
    </row>
    <row r="1449" spans="1:16" ht="12.75">
      <c r="A1449" s="83">
        <v>38167</v>
      </c>
      <c r="B1449" s="80">
        <v>0.9166666666666666</v>
      </c>
      <c r="C1449" s="78">
        <v>15</v>
      </c>
      <c r="D1449" s="79">
        <v>0</v>
      </c>
      <c r="G1449" s="83">
        <v>38167</v>
      </c>
      <c r="H1449" s="80">
        <v>0.9166666666666666</v>
      </c>
      <c r="I1449" s="78">
        <v>11</v>
      </c>
      <c r="J1449" s="79">
        <v>0</v>
      </c>
      <c r="M1449" s="83">
        <v>38167</v>
      </c>
      <c r="N1449" s="80">
        <v>0.9166666666666666</v>
      </c>
      <c r="O1449" s="78">
        <v>53</v>
      </c>
      <c r="P1449" s="79">
        <v>3</v>
      </c>
    </row>
    <row r="1450" spans="1:16" ht="12.75">
      <c r="A1450" s="83">
        <v>38167</v>
      </c>
      <c r="B1450" s="80">
        <v>0.9583333333333334</v>
      </c>
      <c r="C1450" s="78">
        <v>21</v>
      </c>
      <c r="D1450" s="79">
        <v>3</v>
      </c>
      <c r="G1450" s="83">
        <v>38167</v>
      </c>
      <c r="H1450" s="80">
        <v>0.9583333333333334</v>
      </c>
      <c r="I1450" s="78">
        <v>8</v>
      </c>
      <c r="J1450" s="79">
        <v>0</v>
      </c>
      <c r="M1450" s="83">
        <v>38167</v>
      </c>
      <c r="N1450" s="80">
        <v>0.9583333333333334</v>
      </c>
      <c r="O1450" s="78">
        <v>48</v>
      </c>
      <c r="P1450" s="79">
        <v>3</v>
      </c>
    </row>
    <row r="1451" spans="1:16" ht="12.75">
      <c r="A1451" s="83">
        <v>38167</v>
      </c>
      <c r="B1451" s="81">
        <v>1</v>
      </c>
      <c r="C1451" s="78">
        <v>8</v>
      </c>
      <c r="D1451" s="79">
        <v>0</v>
      </c>
      <c r="G1451" s="83">
        <v>38167</v>
      </c>
      <c r="H1451" s="81">
        <v>1</v>
      </c>
      <c r="I1451" s="78">
        <v>6</v>
      </c>
      <c r="J1451" s="79">
        <v>0</v>
      </c>
      <c r="M1451" s="83">
        <v>38167</v>
      </c>
      <c r="N1451" s="81">
        <v>1</v>
      </c>
      <c r="O1451" s="78">
        <v>42</v>
      </c>
      <c r="P1451" s="79">
        <v>0</v>
      </c>
    </row>
    <row r="1452" spans="1:16" s="92" customFormat="1" ht="12.75">
      <c r="A1452" s="90">
        <v>38168</v>
      </c>
      <c r="B1452" s="91">
        <v>0.041666666666666664</v>
      </c>
      <c r="C1452" s="92">
        <v>13</v>
      </c>
      <c r="D1452" s="92">
        <v>0</v>
      </c>
      <c r="G1452" s="90">
        <v>38168</v>
      </c>
      <c r="H1452" s="91">
        <v>0.041666666666666664</v>
      </c>
      <c r="I1452" s="92">
        <v>2</v>
      </c>
      <c r="J1452" s="92">
        <v>0</v>
      </c>
      <c r="M1452" s="90">
        <v>38168</v>
      </c>
      <c r="N1452" s="91">
        <v>0.041666666666666664</v>
      </c>
      <c r="O1452" s="92">
        <v>40</v>
      </c>
      <c r="P1452" s="92">
        <v>0</v>
      </c>
    </row>
    <row r="1453" spans="1:16" ht="12.75">
      <c r="A1453" s="83">
        <v>38168</v>
      </c>
      <c r="B1453" s="80">
        <v>0.08333333333333333</v>
      </c>
      <c r="C1453" s="78">
        <v>11</v>
      </c>
      <c r="D1453" s="79">
        <v>3</v>
      </c>
      <c r="G1453" s="83">
        <v>38168</v>
      </c>
      <c r="H1453" s="80">
        <v>0.08333333333333333</v>
      </c>
      <c r="I1453" s="78">
        <v>4</v>
      </c>
      <c r="J1453" s="79">
        <v>0</v>
      </c>
      <c r="M1453" s="83">
        <v>38168</v>
      </c>
      <c r="N1453" s="80">
        <v>0.08333333333333333</v>
      </c>
      <c r="O1453" s="78">
        <v>42</v>
      </c>
      <c r="P1453" s="79">
        <v>3</v>
      </c>
    </row>
    <row r="1454" spans="1:16" ht="12.75">
      <c r="A1454" s="83">
        <v>38168</v>
      </c>
      <c r="B1454" s="80">
        <v>0.125</v>
      </c>
      <c r="C1454" s="78">
        <v>13</v>
      </c>
      <c r="D1454" s="79">
        <v>3</v>
      </c>
      <c r="G1454" s="83">
        <v>38168</v>
      </c>
      <c r="H1454" s="80">
        <v>0.125</v>
      </c>
      <c r="I1454" s="78">
        <v>2</v>
      </c>
      <c r="J1454" s="79">
        <v>0</v>
      </c>
      <c r="M1454" s="83">
        <v>38168</v>
      </c>
      <c r="N1454" s="80">
        <v>0.125</v>
      </c>
      <c r="O1454" s="78">
        <v>34</v>
      </c>
      <c r="P1454" s="79">
        <v>3</v>
      </c>
    </row>
    <row r="1455" spans="1:16" ht="12.75">
      <c r="A1455" s="83">
        <v>38168</v>
      </c>
      <c r="B1455" s="80">
        <v>0.16666666666666666</v>
      </c>
      <c r="C1455" s="78">
        <v>11</v>
      </c>
      <c r="D1455" s="79">
        <v>3</v>
      </c>
      <c r="G1455" s="83">
        <v>38168</v>
      </c>
      <c r="H1455" s="80">
        <v>0.16666666666666666</v>
      </c>
      <c r="I1455" s="78">
        <v>2</v>
      </c>
      <c r="J1455" s="79">
        <v>0</v>
      </c>
      <c r="M1455" s="83">
        <v>38168</v>
      </c>
      <c r="N1455" s="80">
        <v>0.16666666666666666</v>
      </c>
      <c r="O1455" s="78">
        <v>36</v>
      </c>
      <c r="P1455" s="79">
        <v>3</v>
      </c>
    </row>
    <row r="1456" spans="1:16" ht="12.75">
      <c r="A1456" s="83">
        <v>38168</v>
      </c>
      <c r="B1456" s="80">
        <v>0.20833333333333334</v>
      </c>
      <c r="C1456" s="78">
        <v>19</v>
      </c>
      <c r="D1456" s="79">
        <v>3</v>
      </c>
      <c r="G1456" s="83">
        <v>38168</v>
      </c>
      <c r="H1456" s="80">
        <v>0.20833333333333334</v>
      </c>
      <c r="I1456" s="78">
        <v>4</v>
      </c>
      <c r="J1456" s="79">
        <v>0</v>
      </c>
      <c r="M1456" s="83">
        <v>38168</v>
      </c>
      <c r="N1456" s="80">
        <v>0.20833333333333334</v>
      </c>
      <c r="O1456" s="78">
        <v>46</v>
      </c>
      <c r="P1456" s="79">
        <v>3</v>
      </c>
    </row>
    <row r="1457" spans="1:16" ht="12.75">
      <c r="A1457" s="83">
        <v>38168</v>
      </c>
      <c r="B1457" s="80">
        <v>0.25</v>
      </c>
      <c r="C1457" s="78">
        <v>23</v>
      </c>
      <c r="D1457" s="79">
        <v>3</v>
      </c>
      <c r="G1457" s="83">
        <v>38168</v>
      </c>
      <c r="H1457" s="80">
        <v>0.25</v>
      </c>
      <c r="I1457" s="78">
        <v>0</v>
      </c>
      <c r="J1457" s="79">
        <v>0</v>
      </c>
      <c r="M1457" s="83">
        <v>38168</v>
      </c>
      <c r="N1457" s="80">
        <v>0.25</v>
      </c>
      <c r="O1457" s="78">
        <v>65</v>
      </c>
      <c r="P1457" s="79">
        <v>5</v>
      </c>
    </row>
    <row r="1458" spans="1:16" ht="12.75">
      <c r="A1458" s="83">
        <v>38168</v>
      </c>
      <c r="B1458" s="80">
        <v>0.2916666666666667</v>
      </c>
      <c r="C1458" s="78">
        <v>25</v>
      </c>
      <c r="D1458" s="79">
        <v>3</v>
      </c>
      <c r="G1458" s="83">
        <v>38168</v>
      </c>
      <c r="H1458" s="80">
        <v>0.2916666666666667</v>
      </c>
      <c r="I1458" s="78">
        <v>13</v>
      </c>
      <c r="J1458" s="79">
        <v>0</v>
      </c>
      <c r="M1458" s="83">
        <v>38168</v>
      </c>
      <c r="N1458" s="80">
        <v>0.2916666666666667</v>
      </c>
      <c r="O1458" s="78">
        <v>65</v>
      </c>
      <c r="P1458" s="79">
        <v>5</v>
      </c>
    </row>
    <row r="1459" spans="1:16" ht="12.75">
      <c r="A1459" s="83">
        <v>38168</v>
      </c>
      <c r="B1459" s="80">
        <v>0.3333333333333333</v>
      </c>
      <c r="C1459" s="78">
        <v>44</v>
      </c>
      <c r="D1459" s="79">
        <v>3</v>
      </c>
      <c r="G1459" s="83">
        <v>38168</v>
      </c>
      <c r="H1459" s="80">
        <v>0.3333333333333333</v>
      </c>
      <c r="I1459" s="78">
        <v>21</v>
      </c>
      <c r="J1459" s="79">
        <v>0</v>
      </c>
      <c r="M1459" s="83">
        <v>38168</v>
      </c>
      <c r="N1459" s="80">
        <v>0.3333333333333333</v>
      </c>
      <c r="O1459" s="78">
        <v>65</v>
      </c>
      <c r="P1459" s="79">
        <v>5</v>
      </c>
    </row>
    <row r="1460" spans="1:16" ht="12.75">
      <c r="A1460" s="83">
        <v>38168</v>
      </c>
      <c r="B1460" s="80">
        <v>0.375</v>
      </c>
      <c r="C1460" s="78">
        <v>34</v>
      </c>
      <c r="D1460" s="79">
        <v>3</v>
      </c>
      <c r="G1460" s="83">
        <v>38168</v>
      </c>
      <c r="H1460" s="80">
        <v>0.375</v>
      </c>
      <c r="I1460" s="78">
        <v>21</v>
      </c>
      <c r="J1460" s="79">
        <v>3</v>
      </c>
      <c r="M1460" s="83">
        <v>38168</v>
      </c>
      <c r="N1460" s="80">
        <v>0.375</v>
      </c>
      <c r="O1460" s="78">
        <v>59</v>
      </c>
      <c r="P1460" s="79">
        <v>8</v>
      </c>
    </row>
    <row r="1461" spans="1:16" ht="12.75">
      <c r="A1461" s="83">
        <v>38168</v>
      </c>
      <c r="B1461" s="80">
        <v>0.4166666666666667</v>
      </c>
      <c r="C1461" s="78">
        <v>40</v>
      </c>
      <c r="D1461" s="79">
        <v>3</v>
      </c>
      <c r="G1461" s="83">
        <v>38168</v>
      </c>
      <c r="H1461" s="80">
        <v>0.4166666666666667</v>
      </c>
      <c r="I1461" s="78">
        <v>11</v>
      </c>
      <c r="J1461" s="79">
        <v>0</v>
      </c>
      <c r="M1461" s="83">
        <v>38168</v>
      </c>
      <c r="N1461" s="80">
        <v>0.4166666666666667</v>
      </c>
      <c r="O1461" s="78">
        <v>63</v>
      </c>
      <c r="P1461" s="79">
        <v>5</v>
      </c>
    </row>
    <row r="1462" spans="1:16" ht="12.75">
      <c r="A1462" s="83">
        <v>38168</v>
      </c>
      <c r="B1462" s="80">
        <v>0.4583333333333333</v>
      </c>
      <c r="C1462" s="78">
        <v>19</v>
      </c>
      <c r="D1462" s="79">
        <v>3</v>
      </c>
      <c r="G1462" s="83">
        <v>38168</v>
      </c>
      <c r="H1462" s="80">
        <v>0.4583333333333333</v>
      </c>
      <c r="I1462" s="78">
        <v>10</v>
      </c>
      <c r="J1462" s="79">
        <v>0</v>
      </c>
      <c r="M1462" s="83">
        <v>38168</v>
      </c>
      <c r="N1462" s="80">
        <v>0.4583333333333333</v>
      </c>
      <c r="O1462" s="78">
        <v>59</v>
      </c>
      <c r="P1462" s="79">
        <v>5</v>
      </c>
    </row>
    <row r="1463" spans="1:16" ht="12.75">
      <c r="A1463" s="83">
        <v>38168</v>
      </c>
      <c r="B1463" s="80">
        <v>0.5</v>
      </c>
      <c r="C1463" s="78">
        <v>21</v>
      </c>
      <c r="D1463" s="79">
        <v>3</v>
      </c>
      <c r="G1463" s="83">
        <v>38168</v>
      </c>
      <c r="H1463" s="80">
        <v>0.5</v>
      </c>
      <c r="I1463" s="78">
        <v>19</v>
      </c>
      <c r="J1463" s="79">
        <v>3</v>
      </c>
      <c r="M1463" s="83">
        <v>38168</v>
      </c>
      <c r="N1463" s="80">
        <v>0.5</v>
      </c>
      <c r="O1463" s="78">
        <v>53</v>
      </c>
      <c r="P1463" s="79">
        <v>5</v>
      </c>
    </row>
    <row r="1464" spans="1:16" ht="12.75">
      <c r="A1464" s="83">
        <v>38168</v>
      </c>
      <c r="B1464" s="80">
        <v>0.5416666666666666</v>
      </c>
      <c r="C1464" s="78">
        <v>15</v>
      </c>
      <c r="D1464" s="79">
        <v>3</v>
      </c>
      <c r="G1464" s="83">
        <v>38168</v>
      </c>
      <c r="H1464" s="80">
        <v>0.5416666666666666</v>
      </c>
      <c r="I1464" s="78">
        <v>23</v>
      </c>
      <c r="J1464" s="79">
        <v>0</v>
      </c>
      <c r="M1464" s="83">
        <v>38168</v>
      </c>
      <c r="N1464" s="80">
        <v>0.5416666666666666</v>
      </c>
      <c r="O1464" s="78">
        <v>53</v>
      </c>
      <c r="P1464" s="79">
        <v>5</v>
      </c>
    </row>
    <row r="1465" spans="1:16" ht="12.75">
      <c r="A1465" s="83">
        <v>38168</v>
      </c>
      <c r="B1465" s="80">
        <v>0.5833333333333334</v>
      </c>
      <c r="C1465" s="78">
        <v>13</v>
      </c>
      <c r="D1465" s="79">
        <v>0</v>
      </c>
      <c r="G1465" s="83">
        <v>38168</v>
      </c>
      <c r="H1465" s="80">
        <v>0.5833333333333334</v>
      </c>
      <c r="I1465" s="78">
        <v>27</v>
      </c>
      <c r="J1465" s="79">
        <v>0</v>
      </c>
      <c r="M1465" s="83">
        <v>38168</v>
      </c>
      <c r="N1465" s="80">
        <v>0.5833333333333334</v>
      </c>
      <c r="O1465" s="78">
        <v>59</v>
      </c>
      <c r="P1465" s="79">
        <v>3</v>
      </c>
    </row>
    <row r="1466" spans="1:16" ht="12.75">
      <c r="A1466" s="83">
        <v>38168</v>
      </c>
      <c r="B1466" s="80">
        <v>0.625</v>
      </c>
      <c r="C1466" s="78">
        <v>13</v>
      </c>
      <c r="D1466" s="79">
        <v>3</v>
      </c>
      <c r="G1466" s="83">
        <v>38168</v>
      </c>
      <c r="H1466" s="80">
        <v>0.625</v>
      </c>
      <c r="I1466" s="78">
        <v>38</v>
      </c>
      <c r="J1466" s="79">
        <v>3</v>
      </c>
      <c r="M1466" s="83">
        <v>38168</v>
      </c>
      <c r="N1466" s="80">
        <v>0.625</v>
      </c>
      <c r="O1466" s="78">
        <v>53</v>
      </c>
      <c r="P1466" s="79">
        <v>3</v>
      </c>
    </row>
    <row r="1467" spans="1:16" ht="12.75">
      <c r="A1467" s="83">
        <v>38168</v>
      </c>
      <c r="B1467" s="80">
        <v>0.6666666666666666</v>
      </c>
      <c r="C1467" s="78">
        <v>17</v>
      </c>
      <c r="D1467" s="79">
        <v>3</v>
      </c>
      <c r="G1467" s="83">
        <v>38168</v>
      </c>
      <c r="H1467" s="80">
        <v>0.6666666666666666</v>
      </c>
      <c r="I1467" s="78">
        <v>42</v>
      </c>
      <c r="J1467" s="79">
        <v>0</v>
      </c>
      <c r="M1467" s="83">
        <v>38168</v>
      </c>
      <c r="N1467" s="80">
        <v>0.6666666666666666</v>
      </c>
      <c r="O1467" s="78">
        <v>65</v>
      </c>
      <c r="P1467" s="79">
        <v>3</v>
      </c>
    </row>
    <row r="1468" spans="1:16" ht="12.75">
      <c r="A1468" s="83">
        <v>38168</v>
      </c>
      <c r="B1468" s="80">
        <v>0.7083333333333334</v>
      </c>
      <c r="C1468" s="78">
        <v>19</v>
      </c>
      <c r="D1468" s="79">
        <v>3</v>
      </c>
      <c r="G1468" s="83">
        <v>38168</v>
      </c>
      <c r="H1468" s="80">
        <v>0.7083333333333334</v>
      </c>
      <c r="I1468" s="78">
        <v>32</v>
      </c>
      <c r="J1468" s="79">
        <v>3</v>
      </c>
      <c r="M1468" s="83">
        <v>38168</v>
      </c>
      <c r="N1468" s="80">
        <v>0.7083333333333334</v>
      </c>
      <c r="O1468" s="78">
        <v>61</v>
      </c>
      <c r="P1468" s="79">
        <v>3</v>
      </c>
    </row>
    <row r="1469" spans="1:16" ht="12.75">
      <c r="A1469" s="83">
        <v>38168</v>
      </c>
      <c r="B1469" s="80">
        <v>0.75</v>
      </c>
      <c r="C1469" s="78">
        <v>15</v>
      </c>
      <c r="D1469" s="79">
        <v>3</v>
      </c>
      <c r="G1469" s="83">
        <v>38168</v>
      </c>
      <c r="H1469" s="80">
        <v>0.75</v>
      </c>
      <c r="I1469" s="78">
        <v>23</v>
      </c>
      <c r="J1469" s="79">
        <v>0</v>
      </c>
      <c r="M1469" s="83">
        <v>38168</v>
      </c>
      <c r="N1469" s="80">
        <v>0.75</v>
      </c>
      <c r="O1469" s="78">
        <v>48</v>
      </c>
      <c r="P1469" s="79">
        <v>3</v>
      </c>
    </row>
    <row r="1470" spans="1:16" ht="12.75">
      <c r="A1470" s="83">
        <v>38168</v>
      </c>
      <c r="B1470" s="80">
        <v>0.7916666666666666</v>
      </c>
      <c r="C1470" s="78">
        <v>13</v>
      </c>
      <c r="D1470" s="79">
        <v>3</v>
      </c>
      <c r="G1470" s="83">
        <v>38168</v>
      </c>
      <c r="H1470" s="80">
        <v>0.7916666666666666</v>
      </c>
      <c r="I1470" s="78">
        <v>19</v>
      </c>
      <c r="J1470" s="79">
        <v>0</v>
      </c>
      <c r="M1470" s="83">
        <v>38168</v>
      </c>
      <c r="N1470" s="80">
        <v>0.7916666666666666</v>
      </c>
      <c r="O1470" s="78">
        <v>38</v>
      </c>
      <c r="P1470" s="79">
        <v>3</v>
      </c>
    </row>
    <row r="1471" spans="1:16" ht="12.75">
      <c r="A1471" s="83">
        <v>38168</v>
      </c>
      <c r="B1471" s="80">
        <v>0.8333333333333334</v>
      </c>
      <c r="C1471" s="78">
        <v>13</v>
      </c>
      <c r="D1471" s="79">
        <v>3</v>
      </c>
      <c r="G1471" s="83">
        <v>38168</v>
      </c>
      <c r="H1471" s="80">
        <v>0.8333333333333334</v>
      </c>
      <c r="I1471" s="78">
        <v>19</v>
      </c>
      <c r="J1471" s="79">
        <v>0</v>
      </c>
      <c r="M1471" s="83">
        <v>38168</v>
      </c>
      <c r="N1471" s="80">
        <v>0.8333333333333334</v>
      </c>
      <c r="O1471" s="78">
        <v>42</v>
      </c>
      <c r="P1471" s="79">
        <v>3</v>
      </c>
    </row>
    <row r="1472" spans="1:16" ht="12.75">
      <c r="A1472" s="83">
        <v>38168</v>
      </c>
      <c r="B1472" s="80">
        <v>0.875</v>
      </c>
      <c r="C1472" s="78">
        <v>17</v>
      </c>
      <c r="D1472" s="79">
        <v>3</v>
      </c>
      <c r="G1472" s="83">
        <v>38168</v>
      </c>
      <c r="H1472" s="80">
        <v>0.875</v>
      </c>
      <c r="I1472" s="78">
        <v>19</v>
      </c>
      <c r="J1472" s="79">
        <v>0</v>
      </c>
      <c r="M1472" s="83">
        <v>38168</v>
      </c>
      <c r="N1472" s="80">
        <v>0.875</v>
      </c>
      <c r="O1472" s="78">
        <v>48</v>
      </c>
      <c r="P1472" s="79">
        <v>3</v>
      </c>
    </row>
    <row r="1473" spans="1:16" ht="12.75">
      <c r="A1473" s="83">
        <v>38168</v>
      </c>
      <c r="B1473" s="80">
        <v>0.9166666666666666</v>
      </c>
      <c r="C1473" s="78">
        <v>17</v>
      </c>
      <c r="D1473" s="79">
        <v>3</v>
      </c>
      <c r="G1473" s="83">
        <v>38168</v>
      </c>
      <c r="H1473" s="80">
        <v>0.9166666666666666</v>
      </c>
      <c r="I1473" s="78">
        <v>23</v>
      </c>
      <c r="J1473" s="79">
        <v>0</v>
      </c>
      <c r="M1473" s="83">
        <v>38168</v>
      </c>
      <c r="N1473" s="80">
        <v>0.9166666666666666</v>
      </c>
      <c r="O1473" s="78">
        <v>48</v>
      </c>
      <c r="P1473" s="79">
        <v>3</v>
      </c>
    </row>
    <row r="1474" spans="1:16" ht="12.75">
      <c r="A1474" s="83">
        <v>38168</v>
      </c>
      <c r="B1474" s="80">
        <v>0.9583333333333334</v>
      </c>
      <c r="C1474" s="78">
        <v>19</v>
      </c>
      <c r="D1474" s="79">
        <v>3</v>
      </c>
      <c r="G1474" s="83">
        <v>38168</v>
      </c>
      <c r="H1474" s="80">
        <v>0.9583333333333334</v>
      </c>
      <c r="I1474" s="78">
        <v>19</v>
      </c>
      <c r="J1474" s="79">
        <v>0</v>
      </c>
      <c r="M1474" s="83">
        <v>38168</v>
      </c>
      <c r="N1474" s="80">
        <v>0.9583333333333334</v>
      </c>
      <c r="O1474" s="78">
        <v>57</v>
      </c>
      <c r="P1474" s="79">
        <v>5</v>
      </c>
    </row>
    <row r="1475" spans="1:16" ht="12.75">
      <c r="A1475" s="83">
        <v>38168</v>
      </c>
      <c r="B1475" s="81">
        <v>1</v>
      </c>
      <c r="C1475" s="78">
        <v>13</v>
      </c>
      <c r="D1475" s="79">
        <v>3</v>
      </c>
      <c r="G1475" s="83">
        <v>38168</v>
      </c>
      <c r="H1475" s="81">
        <v>1</v>
      </c>
      <c r="I1475" s="78">
        <v>10</v>
      </c>
      <c r="J1475" s="79">
        <v>0</v>
      </c>
      <c r="M1475" s="83">
        <v>38168</v>
      </c>
      <c r="N1475" s="81">
        <v>1</v>
      </c>
      <c r="O1475" s="78">
        <v>40</v>
      </c>
      <c r="P1475" s="79">
        <v>3</v>
      </c>
    </row>
    <row r="1478" spans="1:13" ht="12.75">
      <c r="A1478" s="82" t="s">
        <v>8</v>
      </c>
      <c r="G1478" s="82" t="s">
        <v>8</v>
      </c>
      <c r="M1478" s="82" t="s">
        <v>8</v>
      </c>
    </row>
  </sheetData>
  <printOptions/>
  <pageMargins left="0.75" right="0.75" top="1" bottom="1" header="0.5" footer="0.5"/>
  <pageSetup horizontalDpi="200" verticalDpi="200" orientation="portrait" r:id="rId1"/>
  <headerFooter alignWithMargins="0">
    <oddHeader>&amp;LBEYOND FAIR TESTING&amp;C&amp;12AIR POLLUTION&amp;REnquiry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37"/>
  <sheetViews>
    <sheetView workbookViewId="0" topLeftCell="A1">
      <selection activeCell="C19" sqref="C19"/>
    </sheetView>
  </sheetViews>
  <sheetFormatPr defaultColWidth="9.140625" defaultRowHeight="12.75"/>
  <sheetData>
    <row r="2" spans="1:2" ht="12.75">
      <c r="A2">
        <v>0</v>
      </c>
      <c r="B2" t="s">
        <v>69</v>
      </c>
    </row>
    <row r="3" spans="1:2" ht="12.75">
      <c r="A3">
        <v>10</v>
      </c>
      <c r="B3" t="s">
        <v>69</v>
      </c>
    </row>
    <row r="4" spans="1:2" ht="12.75">
      <c r="A4">
        <v>20</v>
      </c>
      <c r="B4" t="s">
        <v>69</v>
      </c>
    </row>
    <row r="5" spans="1:2" ht="12.75">
      <c r="A5">
        <v>30</v>
      </c>
      <c r="B5" t="s">
        <v>71</v>
      </c>
    </row>
    <row r="6" spans="1:2" ht="12.75">
      <c r="A6">
        <v>40</v>
      </c>
      <c r="B6" t="s">
        <v>71</v>
      </c>
    </row>
    <row r="7" spans="1:2" ht="12.75">
      <c r="A7">
        <v>50</v>
      </c>
      <c r="B7" t="s">
        <v>71</v>
      </c>
    </row>
    <row r="8" spans="1:2" ht="12.75">
      <c r="A8">
        <v>60</v>
      </c>
      <c r="B8" t="s">
        <v>71</v>
      </c>
    </row>
    <row r="9" spans="1:2" ht="12.75">
      <c r="A9">
        <v>70</v>
      </c>
      <c r="B9" t="s">
        <v>70</v>
      </c>
    </row>
    <row r="10" spans="1:2" ht="12.75">
      <c r="A10">
        <v>80</v>
      </c>
      <c r="B10" t="s">
        <v>70</v>
      </c>
    </row>
    <row r="11" spans="1:2" ht="12.75">
      <c r="A11">
        <v>90</v>
      </c>
      <c r="B11" t="s">
        <v>70</v>
      </c>
    </row>
    <row r="12" spans="1:2" ht="12.75">
      <c r="A12">
        <v>100</v>
      </c>
      <c r="B12" t="s">
        <v>70</v>
      </c>
    </row>
    <row r="13" spans="1:2" ht="12.75">
      <c r="A13">
        <v>110</v>
      </c>
      <c r="B13" t="s">
        <v>70</v>
      </c>
    </row>
    <row r="14" spans="1:2" ht="12.75">
      <c r="A14">
        <v>120</v>
      </c>
      <c r="B14" t="s">
        <v>72</v>
      </c>
    </row>
    <row r="15" spans="1:2" ht="12.75">
      <c r="A15">
        <v>130</v>
      </c>
      <c r="B15" t="s">
        <v>72</v>
      </c>
    </row>
    <row r="16" spans="1:2" ht="12.75">
      <c r="A16">
        <v>140</v>
      </c>
      <c r="B16" t="s">
        <v>72</v>
      </c>
    </row>
    <row r="17" spans="1:2" ht="12.75">
      <c r="A17">
        <v>150</v>
      </c>
      <c r="B17" t="s">
        <v>72</v>
      </c>
    </row>
    <row r="18" spans="1:2" ht="12.75">
      <c r="A18">
        <v>160</v>
      </c>
      <c r="B18" t="s">
        <v>73</v>
      </c>
    </row>
    <row r="19" spans="1:2" ht="12.75">
      <c r="A19">
        <v>170</v>
      </c>
      <c r="B19" t="s">
        <v>73</v>
      </c>
    </row>
    <row r="20" spans="1:2" ht="12.75">
      <c r="A20">
        <v>180</v>
      </c>
      <c r="B20" t="s">
        <v>73</v>
      </c>
    </row>
    <row r="21" spans="1:2" ht="12.75">
      <c r="A21">
        <v>190</v>
      </c>
      <c r="B21" t="s">
        <v>73</v>
      </c>
    </row>
    <row r="22" spans="1:2" ht="12.75">
      <c r="A22">
        <v>200</v>
      </c>
      <c r="B22" t="s">
        <v>73</v>
      </c>
    </row>
    <row r="23" spans="1:2" ht="12.75">
      <c r="A23">
        <v>210</v>
      </c>
      <c r="B23" t="s">
        <v>74</v>
      </c>
    </row>
    <row r="24" spans="1:2" ht="12.75">
      <c r="A24">
        <v>220</v>
      </c>
      <c r="B24" t="s">
        <v>74</v>
      </c>
    </row>
    <row r="25" spans="1:2" ht="12.75">
      <c r="A25">
        <v>230</v>
      </c>
      <c r="B25" t="s">
        <v>74</v>
      </c>
    </row>
    <row r="26" spans="1:2" ht="12.75">
      <c r="A26">
        <v>240</v>
      </c>
      <c r="B26" t="s">
        <v>74</v>
      </c>
    </row>
    <row r="27" spans="1:2" ht="12.75">
      <c r="A27">
        <v>250</v>
      </c>
      <c r="B27" t="s">
        <v>75</v>
      </c>
    </row>
    <row r="28" spans="1:2" ht="12.75">
      <c r="A28">
        <v>260</v>
      </c>
      <c r="B28" t="s">
        <v>75</v>
      </c>
    </row>
    <row r="29" spans="1:2" ht="12.75">
      <c r="A29">
        <v>270</v>
      </c>
      <c r="B29" t="s">
        <v>75</v>
      </c>
    </row>
    <row r="30" spans="1:2" ht="12.75">
      <c r="A30">
        <v>280</v>
      </c>
      <c r="B30" t="s">
        <v>75</v>
      </c>
    </row>
    <row r="31" spans="1:2" ht="12.75">
      <c r="A31">
        <v>290</v>
      </c>
      <c r="B31" t="s">
        <v>75</v>
      </c>
    </row>
    <row r="32" spans="1:2" ht="12.75">
      <c r="A32">
        <v>300</v>
      </c>
      <c r="B32" t="s">
        <v>76</v>
      </c>
    </row>
    <row r="33" spans="1:2" ht="12.75">
      <c r="A33">
        <v>310</v>
      </c>
      <c r="B33" t="s">
        <v>76</v>
      </c>
    </row>
    <row r="34" spans="1:2" ht="12.75">
      <c r="A34">
        <v>320</v>
      </c>
      <c r="B34" t="s">
        <v>76</v>
      </c>
    </row>
    <row r="35" spans="1:2" ht="12.75">
      <c r="A35">
        <v>330</v>
      </c>
      <c r="B35" t="s">
        <v>76</v>
      </c>
    </row>
    <row r="36" spans="1:2" ht="12.75">
      <c r="A36">
        <v>340</v>
      </c>
      <c r="B36" t="s">
        <v>69</v>
      </c>
    </row>
    <row r="37" spans="1:2" ht="12.75">
      <c r="A37">
        <v>350</v>
      </c>
      <c r="B37" t="s">
        <v>69</v>
      </c>
    </row>
  </sheetData>
  <printOptions/>
  <pageMargins left="0.75" right="0.75" top="1" bottom="1" header="0.5" footer="0.5"/>
  <pageSetup orientation="portrait" paperSize="9" r:id="rId1"/>
  <headerFooter alignWithMargins="0">
    <oddHeader>&amp;LBEYOND FAIR TESTING&amp;C&amp;"Arial,Bold"&amp;12AIR POLLUTION&amp;RENQUIRY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quality and weather data</dc:title>
  <dc:subject/>
  <dc:creator>SEP/SKEES</dc:creator>
  <cp:keywords/>
  <dc:description>Data supplied by AEA technology (netcen) and Met Office</dc:description>
  <cp:lastModifiedBy>SEP</cp:lastModifiedBy>
  <cp:lastPrinted>2006-05-08T09:49:35Z</cp:lastPrinted>
  <dcterms:created xsi:type="dcterms:W3CDTF">2004-07-08T11:20:13Z</dcterms:created>
  <dcterms:modified xsi:type="dcterms:W3CDTF">2006-05-08T09:59:31Z</dcterms:modified>
  <cp:category/>
  <cp:version/>
  <cp:contentType/>
  <cp:contentStatus/>
</cp:coreProperties>
</file>